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defaultThemeVersion="124226"/>
  <mc:AlternateContent xmlns:mc="http://schemas.openxmlformats.org/markup-compatibility/2006">
    <mc:Choice Requires="x15">
      <x15ac:absPath xmlns:x15ac="http://schemas.microsoft.com/office/spreadsheetml/2010/11/ac" url="/Users/sjakiez/Documents/"/>
    </mc:Choice>
  </mc:AlternateContent>
  <xr:revisionPtr revIDLastSave="0" documentId="8_{1C5F3954-AC73-054C-9B9E-05F79CB9D33B}" xr6:coauthVersionLast="36" xr6:coauthVersionMax="36" xr10:uidLastSave="{00000000-0000-0000-0000-000000000000}"/>
  <bookViews>
    <workbookView xWindow="0" yWindow="460" windowWidth="28800" windowHeight="16540" xr2:uid="{00000000-000D-0000-FFFF-FFFF00000000}"/>
  </bookViews>
  <sheets>
    <sheet name="Samenvatting" sheetId="5" r:id="rId1"/>
    <sheet name="Methode1" sheetId="1" r:id="rId2"/>
    <sheet name="Methode 2" sheetId="4" r:id="rId3"/>
  </sheets>
  <calcPr calcId="162913"/>
</workbook>
</file>

<file path=xl/calcChain.xml><?xml version="1.0" encoding="utf-8"?>
<calcChain xmlns="http://schemas.openxmlformats.org/spreadsheetml/2006/main">
  <c r="C26" i="1" l="1"/>
  <c r="U7" i="4"/>
  <c r="U6" i="4"/>
  <c r="C15" i="4"/>
  <c r="T25" i="1"/>
  <c r="T13" i="1"/>
  <c r="T9" i="1"/>
  <c r="Q11" i="1"/>
  <c r="O11" i="1"/>
  <c r="O9" i="1"/>
  <c r="N9" i="1"/>
  <c r="M9" i="1"/>
  <c r="K13" i="1" l="1"/>
  <c r="K14" i="1"/>
  <c r="K12" i="1"/>
  <c r="U24" i="1" s="1"/>
  <c r="K11" i="1"/>
  <c r="K9" i="1"/>
  <c r="K8" i="1"/>
  <c r="K15" i="4"/>
  <c r="L15" i="4" s="1"/>
  <c r="M15" i="4" s="1"/>
  <c r="N15" i="4" s="1"/>
  <c r="O15" i="4" s="1"/>
  <c r="P15" i="4" s="1"/>
  <c r="Q15" i="4" s="1"/>
  <c r="R15" i="4" s="1"/>
  <c r="S15" i="4" s="1"/>
  <c r="T15" i="4" s="1"/>
  <c r="E15" i="4"/>
  <c r="T17" i="4" s="1"/>
  <c r="F15" i="4"/>
  <c r="A15" i="4"/>
  <c r="J9" i="1"/>
  <c r="J11" i="1"/>
  <c r="J12" i="1"/>
  <c r="J13" i="1"/>
  <c r="J14" i="1"/>
  <c r="J17" i="1"/>
  <c r="J18" i="1"/>
  <c r="J19" i="1"/>
  <c r="J20" i="1"/>
  <c r="J6" i="1"/>
  <c r="N19" i="1"/>
  <c r="N17" i="1"/>
  <c r="N13" i="1"/>
  <c r="R13" i="1" s="1"/>
  <c r="U13" i="1" s="1"/>
  <c r="N11" i="1"/>
  <c r="P11" i="1" s="1"/>
  <c r="M19" i="1"/>
  <c r="M17" i="1"/>
  <c r="M13" i="1"/>
  <c r="Q13" i="1" s="1"/>
  <c r="M11" i="1"/>
  <c r="T25" i="4" l="1"/>
  <c r="L25" i="4"/>
  <c r="O17" i="1"/>
  <c r="Q17" i="1" s="1"/>
  <c r="T17" i="1" s="1"/>
  <c r="P9" i="1"/>
  <c r="R9" i="1" s="1"/>
  <c r="U9" i="1" s="1"/>
  <c r="U25" i="1" s="1"/>
  <c r="R11" i="1"/>
  <c r="U11" i="1" s="1"/>
  <c r="K17" i="4"/>
  <c r="K18" i="4" s="1"/>
  <c r="L26" i="4"/>
  <c r="L27" i="4" s="1"/>
  <c r="L17" i="4"/>
  <c r="L18" i="4" s="1"/>
  <c r="R17" i="4"/>
  <c r="R18" i="4" s="1"/>
  <c r="R19" i="4" s="1"/>
  <c r="Q17" i="4"/>
  <c r="Q18" i="4" s="1"/>
  <c r="Q19" i="4" s="1"/>
  <c r="O25" i="4"/>
  <c r="O26" i="4" s="1"/>
  <c r="O27" i="4" s="1"/>
  <c r="S25" i="4"/>
  <c r="S26" i="4" s="1"/>
  <c r="S27" i="4" s="1"/>
  <c r="S28" i="4" s="1"/>
  <c r="O17" i="4"/>
  <c r="O18" i="4" s="1"/>
  <c r="O19" i="4" s="1"/>
  <c r="P17" i="4"/>
  <c r="P18" i="4" s="1"/>
  <c r="P19" i="4" s="1"/>
  <c r="R25" i="4"/>
  <c r="R26" i="4" s="1"/>
  <c r="R27" i="4" s="1"/>
  <c r="R28" i="4" s="1"/>
  <c r="N25" i="4"/>
  <c r="N26" i="4" s="1"/>
  <c r="N27" i="4" s="1"/>
  <c r="T18" i="4"/>
  <c r="T19" i="4" s="1"/>
  <c r="T20" i="4" s="1"/>
  <c r="N17" i="4"/>
  <c r="N18" i="4" s="1"/>
  <c r="N19" i="4" s="1"/>
  <c r="S17" i="4"/>
  <c r="S18" i="4" s="1"/>
  <c r="S19" i="4" s="1"/>
  <c r="S20" i="4" s="1"/>
  <c r="K25" i="4"/>
  <c r="K26" i="4" s="1"/>
  <c r="Q25" i="4"/>
  <c r="Q26" i="4" s="1"/>
  <c r="Q27" i="4" s="1"/>
  <c r="Q28" i="4" s="1"/>
  <c r="M25" i="4"/>
  <c r="M26" i="4" s="1"/>
  <c r="M27" i="4" s="1"/>
  <c r="M17" i="4"/>
  <c r="M18" i="4" s="1"/>
  <c r="M19" i="4" s="1"/>
  <c r="T26" i="4"/>
  <c r="T27" i="4" s="1"/>
  <c r="T28" i="4" s="1"/>
  <c r="P25" i="4"/>
  <c r="P26" i="4" s="1"/>
  <c r="P27" i="4" s="1"/>
  <c r="T11" i="1"/>
  <c r="Q19" i="1"/>
  <c r="T19" i="1" s="1"/>
  <c r="P17" i="1"/>
  <c r="R17" i="1" s="1"/>
  <c r="U17" i="1" s="1"/>
  <c r="Q9" i="1"/>
  <c r="R19" i="1"/>
  <c r="U19" i="1" s="1"/>
  <c r="T21" i="1" l="1"/>
  <c r="U21" i="4"/>
  <c r="U29" i="4"/>
  <c r="T26" i="1" s="1"/>
  <c r="T27" i="1" s="1"/>
  <c r="R20" i="4"/>
  <c r="P28" i="4"/>
  <c r="T31" i="4" s="1"/>
  <c r="D5" i="5" s="1"/>
  <c r="D12" i="5" s="1"/>
  <c r="U21" i="1"/>
  <c r="T23" i="4" l="1"/>
  <c r="C5" i="5" s="1"/>
  <c r="C12" i="5" s="1"/>
  <c r="F12" i="5" s="1"/>
  <c r="T29" i="1"/>
  <c r="D4" i="5" s="1"/>
  <c r="D11" i="5" s="1"/>
  <c r="F5" i="5" l="1"/>
  <c r="D19" i="5"/>
  <c r="D25" i="5" s="1"/>
  <c r="C19" i="5"/>
  <c r="C25" i="5" s="1"/>
  <c r="D7" i="5"/>
  <c r="U26" i="1"/>
  <c r="U27" i="1" s="1"/>
  <c r="U29" i="1" s="1"/>
  <c r="C4" i="5" s="1"/>
  <c r="C11" i="5" s="1"/>
  <c r="F11" i="5" s="1"/>
  <c r="D18" i="5" l="1"/>
  <c r="F25" i="5"/>
  <c r="F19" i="5"/>
  <c r="D14" i="5"/>
  <c r="C7" i="5"/>
  <c r="F7" i="5" s="1"/>
  <c r="F4" i="5"/>
  <c r="D24" i="5" l="1"/>
  <c r="D27" i="5" s="1"/>
  <c r="D21" i="5"/>
  <c r="C14" i="5"/>
  <c r="F14" i="5" s="1"/>
  <c r="C18" i="5"/>
  <c r="C24" i="5" s="1"/>
  <c r="C27" i="5" s="1"/>
  <c r="F27" i="5" l="1"/>
  <c r="C21" i="5"/>
  <c r="F21" i="5" s="1"/>
  <c r="F18" i="5"/>
  <c r="F2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D11" authorId="0" shapeId="0" xr:uid="{F3938ACB-C9C0-495F-B60A-B04E0C7A5970}">
      <text>
        <r>
          <rPr>
            <b/>
            <sz val="9"/>
            <color rgb="FF000000"/>
            <rFont val="Tahoma"/>
            <family val="2"/>
          </rPr>
          <t>maximering van reserveringsruimte niet meegenomen gezien niet mogelijk is deze te berekenen obv de gegevens beschikbaar in methode 1.</t>
        </r>
      </text>
    </comment>
    <comment ref="D12" authorId="0" shapeId="0" xr:uid="{5D2F82B3-8CC3-4B53-8496-54101267A8C3}">
      <text>
        <r>
          <rPr>
            <b/>
            <sz val="9"/>
            <color rgb="FF000000"/>
            <rFont val="Tahoma"/>
            <family val="2"/>
          </rPr>
          <t>Hoogste decielgemaximeerd door max. reserveringsruimte van 7167 pj. In 9e deciel zal ook een deel gemaximeerd worden. Deze afwijking in  9e deciel niet aangepast om te compenseren voor de oudere ondernemers (met een ca. dubbel zo hoge reserveringsruimte).</t>
        </r>
        <r>
          <rPr>
            <sz val="9"/>
            <color rgb="FF000000"/>
            <rFont val="Tahoma"/>
            <family val="2"/>
          </rPr>
          <t xml:space="preserve">
</t>
        </r>
      </text>
    </comment>
  </commentList>
</comments>
</file>

<file path=xl/sharedStrings.xml><?xml version="1.0" encoding="utf-8"?>
<sst xmlns="http://schemas.openxmlformats.org/spreadsheetml/2006/main" count="161" uniqueCount="116">
  <si>
    <t>mediaan</t>
  </si>
  <si>
    <t>Zzp hoofdinkomen</t>
  </si>
  <si>
    <t>Zzp neveninkomen</t>
  </si>
  <si>
    <t>gemiddeld</t>
  </si>
  <si>
    <t>Aantal zzp'ers</t>
  </si>
  <si>
    <t>x 1 000</t>
  </si>
  <si>
    <t>1 000 euro</t>
  </si>
  <si>
    <t>Totaal zzp'ers</t>
  </si>
  <si>
    <t xml:space="preserve">  Zzp neveninkomen, hoofdinkomen werknemer</t>
  </si>
  <si>
    <t xml:space="preserve">  Zzp neveninkomen, hoofdinkomen pensioen</t>
  </si>
  <si>
    <t xml:space="preserve">  Zzp neveninkomen, hoofdinkomen uitkering</t>
  </si>
  <si>
    <t xml:space="preserve">  Zzp neveninkomen, hoofdinkomen scholier/student</t>
  </si>
  <si>
    <t>Zzp-inkomen</t>
  </si>
  <si>
    <t>Neveninkomen</t>
  </si>
  <si>
    <t>Hoofdinkomen</t>
  </si>
  <si>
    <t>Tabel 1. Zzp'ers naar belang van het zzp-inkomen, 2016*</t>
  </si>
  <si>
    <t xml:space="preserve">  Zzp hoofdinkomen, geen neveninkomen</t>
  </si>
  <si>
    <t xml:space="preserve">  Zzp hoofdinkomen, wel neveninkomen</t>
  </si>
  <si>
    <t xml:space="preserve">   Zzp hoofdinkomen, wel neveninkomen werknemer</t>
  </si>
  <si>
    <t xml:space="preserve">   Zzp hoofdinkomen, wel neveninkomen pensioen</t>
  </si>
  <si>
    <t xml:space="preserve">   Zzp hoofdinkomen, wel neveninkomen uitkering</t>
  </si>
  <si>
    <t xml:space="preserve">   Zzp hoofdinkomen, wel neveninkomen scholier/student</t>
  </si>
  <si>
    <t>Bron: Integrale Inkomens- en Vermogensstatistieken, CBS</t>
  </si>
  <si>
    <t>https://www.cbs.nl/nl-nl/nieuws/2017/52/ruim-helft-zzp-ers-heeft-ook-andere-inkomensbron</t>
  </si>
  <si>
    <t>Jaarruimte</t>
  </si>
  <si>
    <t>Jaarruimtes ZZPinkomen</t>
  </si>
  <si>
    <t>Aannames:</t>
  </si>
  <si>
    <t>obv mediaan</t>
  </si>
  <si>
    <t>obv. Gemi</t>
  </si>
  <si>
    <t>Gem.</t>
  </si>
  <si>
    <t>Mediaan</t>
  </si>
  <si>
    <t>Gem</t>
  </si>
  <si>
    <t>De nog te gebruiken jaarruimte voor IB-ondernemers</t>
  </si>
  <si>
    <t>obv. gemiddelde</t>
  </si>
  <si>
    <t>obv. mediaan</t>
  </si>
  <si>
    <t>https://www.salarisnet.nl/2017/06/witte-werknemers-waarom-geen-deelname-aan-pensioenregeling/?vakmedianet-approve-cookies=1&amp;_ga=2.15538486.1894379050.1541081021-1538711392.1536939464</t>
  </si>
  <si>
    <t>https://opendata.cbs.nl/statline/#/CBS/nl/dataset/71512ned/table?ts=1541081928757</t>
  </si>
  <si>
    <t>Bron: cbs</t>
  </si>
  <si>
    <t>%</t>
  </si>
  <si>
    <t>waarde</t>
  </si>
  <si>
    <t>Perioden</t>
  </si>
  <si>
    <t>Kenmerken</t>
  </si>
  <si>
    <t>10e deciel</t>
  </si>
  <si>
    <t>9e deciel</t>
  </si>
  <si>
    <t>8e deciel</t>
  </si>
  <si>
    <t>7e deciel</t>
  </si>
  <si>
    <t>6e deciel</t>
  </si>
  <si>
    <t>5e deciel</t>
  </si>
  <si>
    <t>4e deciel</t>
  </si>
  <si>
    <t>3e deciel</t>
  </si>
  <si>
    <t>2e deciel</t>
  </si>
  <si>
    <t>||1e deciel</t>
  </si>
  <si>
    <t>Ratio 80/20</t>
  </si>
  <si>
    <t>Relatieve interkwartielafstand</t>
  </si>
  <si>
    <t>Polarisatie index</t>
  </si>
  <si>
    <t>Ginicoëfficiënt</t>
  </si>
  <si>
    <t>Theilcoëfficiënt</t>
  </si>
  <si>
    <t>Gemiddeld inkomen</t>
  </si>
  <si>
    <t>Mediaan inkomen</t>
  </si>
  <si>
    <t>Personen in particuliere huishoudens</t>
  </si>
  <si>
    <t>Onderwerp</t>
  </si>
  <si>
    <t>Inkomensongelijkheid personen: persoonskenmerken, 2000-2014</t>
  </si>
  <si>
    <t xml:space="preserve">Bronnen: </t>
  </si>
  <si>
    <t>https://www.cbs.nl/nl-nl/nieuws/2010/03/een-op-tien-werknemers-bouwt-geen-aanvullend-pensioen-op</t>
  </si>
  <si>
    <t>Correctie geen aftrek vanwege te veel andere zelfstandigenaftrek posten</t>
  </si>
  <si>
    <t>Range</t>
  </si>
  <si>
    <t>Aantal ZZP-ers per deciel:</t>
  </si>
  <si>
    <t>gem. Zzp inkomen</t>
  </si>
  <si>
    <t>#</t>
  </si>
  <si>
    <t>Mediaan Zzp inkomen</t>
  </si>
  <si>
    <t>Tot. inkomen/deciel (obv mediaan)</t>
  </si>
  <si>
    <t>Tot. inkomen/deciel (obv gemiddelde)</t>
  </si>
  <si>
    <t>Inkomen pp (obv mediaan)</t>
  </si>
  <si>
    <t>Inkomen pp (obv gemiddelde)</t>
  </si>
  <si>
    <t>Aftrekruimte?</t>
  </si>
  <si>
    <t>Correctie maximering veelverdieners</t>
  </si>
  <si>
    <t>verdient te weinig om na andere aftrekposten nog IB te betalen (dus wel jaarruimte, maar geen aftrek)</t>
  </si>
  <si>
    <t>Obv mediaan</t>
  </si>
  <si>
    <t>Obv gemiddelde</t>
  </si>
  <si>
    <t>Methode 1</t>
  </si>
  <si>
    <t>Methode 2</t>
  </si>
  <si>
    <t>Schatting % ZZP-ers zonder fisc. Aftrekruimte</t>
  </si>
  <si>
    <t>https://www.volkskrant.nl/nieuws-achtergrond/cbs-4-op-de-10-zzp-ers-betalen-geen-inkomstenbelasting-~b878b731/</t>
  </si>
  <si>
    <t>https://www.ikwordzzper.nl/blogs/in-2017-betaal-je-geen-belasting-tot-een-winst-van-26832</t>
  </si>
  <si>
    <t>Gemiddelde/methode:</t>
  </si>
  <si>
    <t>Gemiddelde</t>
  </si>
  <si>
    <t>Toetsing totale fiscale aftrek van ZZP-ers</t>
  </si>
  <si>
    <t>verloren jaarruimte vanwege Factor A werkgeverspensioen</t>
  </si>
  <si>
    <t>Studenten hebben (ook vanwege eisen studiefinanciering) overwegend een te laag inkomen om jaarruimte te hebben. Zijn dus niet meegenomen in deze berekening</t>
  </si>
  <si>
    <t>Gepensioneerden hebben geen fiscale mogelijkheden (jaarruimte) meer om pensioen op te bouwen (soms nog wel reserveringsruimte, echter deze is hier niet meegenomen)</t>
  </si>
  <si>
    <t>% werknemers met collectieve pensioenregeling (100% minus gemiddelde tussen 11% uit 2007 en 5% uit 2013 witte vlekken rapporten gemeten in 2007 en 2013. Bron CBS)</t>
  </si>
  <si>
    <t>https://www.cbs.nl/nl-nl/maatwerk/2017/22/kwalitatief-onderzoek-bij-analyse-witte-vlekken</t>
  </si>
  <si>
    <t xml:space="preserve">https://www.cbs.nl/nl-nl/maatwerk/2016/22/witte-vlekken-op-pensioengebied-2013 </t>
  </si>
  <si>
    <t xml:space="preserve">Conclusie: </t>
  </si>
  <si>
    <t>Daadwerkelijke bedrag aan totale aftrek is afhankelijk van de effectieve onderliggende inkomensverdeling… methode 2 geeft op dit vlak een betere benadering.</t>
  </si>
  <si>
    <t>Brede ranges… komt mede door het effect van de AOW franchise op de jaarruimte bij lagere inkomens. Het grote verschil tussen methode 1 en methode 2 wordt hierdoor veroorzaakt (waarbij methode 1 effectief te laag uitvalt )</t>
  </si>
  <si>
    <t>Stelling van 1,2 miljard aan jaarruimte bevindt zich aan de onderkant van de range.</t>
  </si>
  <si>
    <t>https://www.cbs.nl/nl-nl/nieuws/2017/28/kwart-zzp-ers-heeft-geen-pensioenvoorziening</t>
  </si>
  <si>
    <t>Aftrek o.b.v. 40,85% IB (schijf 2 &amp; 3)</t>
  </si>
  <si>
    <t>N.B.2  dit bedrag houdt geen rekening met ev. Reeds gestorte jaarruimtes door IB-ondernemers obv de FOR of eerder dit jaar gestortte inleg in lijfrentes</t>
  </si>
  <si>
    <t>N.B.1  er wordt geen rekening gehouden met eventuele reserveringsruimte van deze groep (onbenutte jaarruimtes van de afgelopen 7 jaar die nog deels goedgemaakt kunnen worden via de reserveringsruimte)</t>
  </si>
  <si>
    <t>Mogelijke totale aftrek (jaarruimte plus max. reserveringsruimte)</t>
  </si>
  <si>
    <t>NB. Omdat het gemiddelde inkomen ook al beinvloed is door inkomens van de aow franchise, is deze correctie deels dubbelop. Effectief is de jaarruimte hier al ten delen voor gecorrigeerd. Echter gezien er geen gegevens op dit vlak bekend zijn, houden we de 40% aan.</t>
  </si>
  <si>
    <r>
      <rPr>
        <b/>
        <u/>
        <sz val="11"/>
        <color theme="1"/>
        <rFont val="Calibri"/>
        <family val="2"/>
        <scheme val="minor"/>
      </rPr>
      <t>Maximale</t>
    </r>
    <r>
      <rPr>
        <b/>
        <sz val="11"/>
        <color theme="1"/>
        <rFont val="Calibri"/>
        <family val="2"/>
        <scheme val="minor"/>
      </rPr>
      <t xml:space="preserve"> reserveringsruimte (17% van de premiegrondslag)</t>
    </r>
  </si>
  <si>
    <t>Jaarruimte (NB: nog niet de aftrek)</t>
  </si>
  <si>
    <t>Percentage werknemers met pensioen</t>
  </si>
  <si>
    <t>Percentage</t>
  </si>
  <si>
    <t>Totaal</t>
  </si>
  <si>
    <t>Obv mediaan
inkomen</t>
  </si>
  <si>
    <t>Obv gemiddeld
inkomen</t>
  </si>
  <si>
    <t>Gemiddelde
mediaan/gemiddeld</t>
  </si>
  <si>
    <t>Totaal Nederlanders</t>
  </si>
  <si>
    <t>Nederlanders met inkomen uit eigen onderneming</t>
  </si>
  <si>
    <t>aanname: mensen in deze groep verdienen te weinig om na Zelfstandigen-, mkb- en ev. Startersaftrek fiscaal te kunnen aftrekken</t>
  </si>
  <si>
    <t xml:space="preserve">Aanname: 20% minder teruggebracht agv mogelijke overschrijding van de maximale jaarruimte (100K-plus verdieners). </t>
  </si>
  <si>
    <t>Artikelen zinspelen op 40% van de ZZP-ers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</si>
</sst>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quot;€&quot;\ * #,##0.00_ ;_ &quot;€&quot;\ * \-#,##0.00_ ;_ &quot;€&quot;\ * &quot;-&quot;??_ ;_ @_ "/>
    <numFmt numFmtId="165" formatCode="_ * #,##0.00_ ;_ * \-#,##0.00_ ;_ * &quot;-&quot;??_ ;_ @_ "/>
    <numFmt numFmtId="166" formatCode="0.0"/>
    <numFmt numFmtId="167" formatCode="_ * #,##0_ ;_ * \-#,##0_ ;_ * &quot;-&quot;??_ ;_ @_ "/>
    <numFmt numFmtId="168" formatCode="_ &quot;€&quot;\ * #,##0_ ;_ &quot;€&quot;\ * \-#,##0_ ;_ &quot;€&quot;\ * &quot;-&quot;??_ ;_ @_ "/>
    <numFmt numFmtId="169" formatCode="_ &quot;€&quot;\ * #,##0.0_ ;_ &quot;€&quot;\ * \-#,##0.0_ ;_ &quot;€&quot;\ * &quot;-&quot;?_ ;_ @_ "/>
    <numFmt numFmtId="170" formatCode="0.0%"/>
    <numFmt numFmtId="171" formatCode="_ [$€-413]\ * #,##0_ ;_ [$€-413]\ * \-#,##0_ ;_ [$€-413]\ * &quot;-&quot;??_ ;_ @_ "/>
    <numFmt numFmtId="172" formatCode="_ &quot;€&quot;\ * #,##0_ ;_ &quot;€&quot;\ * \-#,##0_ ;_ &quot;€&quot;\ * &quot;-&quot;?_ ;_ @_ "/>
  </numFmts>
  <fonts count="13"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sz val="11"/>
      <color rgb="FF0070C0"/>
      <name val="Calibri"/>
      <family val="2"/>
      <scheme val="minor"/>
    </font>
    <font>
      <b/>
      <u/>
      <sz val="11"/>
      <color theme="1"/>
      <name val="Calibri"/>
      <family val="2"/>
      <scheme val="minor"/>
    </font>
    <font>
      <sz val="11"/>
      <color rgb="FF00B050"/>
      <name val="Calibri"/>
      <family val="2"/>
      <scheme val="minor"/>
    </font>
    <font>
      <b/>
      <u/>
      <sz val="12"/>
      <color theme="1"/>
      <name val="Calibri"/>
      <family val="2"/>
      <scheme val="minor"/>
    </font>
    <font>
      <b/>
      <sz val="11"/>
      <color rgb="FFFF0000"/>
      <name val="Calibri"/>
      <family val="2"/>
      <scheme val="minor"/>
    </font>
    <font>
      <b/>
      <sz val="9"/>
      <color rgb="FF000000"/>
      <name val="Tahoma"/>
      <family val="2"/>
    </font>
    <font>
      <sz val="9"/>
      <color rgb="FF000000"/>
      <name val="Tahoma"/>
      <family val="2"/>
    </font>
  </fonts>
  <fills count="9">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pplyNumberForma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139">
    <xf numFmtId="0" fontId="0" fillId="0" borderId="0" xfId="0"/>
    <xf numFmtId="0" fontId="0" fillId="0" borderId="1" xfId="0" applyBorder="1"/>
    <xf numFmtId="0" fontId="0" fillId="0" borderId="2" xfId="0" applyBorder="1"/>
    <xf numFmtId="0" fontId="0" fillId="0" borderId="0" xfId="0" applyFill="1" applyBorder="1"/>
    <xf numFmtId="0" fontId="1" fillId="0" borderId="0" xfId="0" applyFont="1"/>
    <xf numFmtId="166" fontId="0" fillId="0" borderId="0" xfId="0" applyNumberFormat="1"/>
    <xf numFmtId="0" fontId="0" fillId="0" borderId="0" xfId="0" applyFont="1"/>
    <xf numFmtId="167" fontId="0" fillId="0" borderId="0" xfId="2" applyNumberFormat="1" applyFont="1"/>
    <xf numFmtId="168" fontId="0" fillId="0" borderId="0" xfId="3" applyNumberFormat="1" applyFont="1"/>
    <xf numFmtId="167" fontId="0" fillId="0" borderId="0" xfId="0" applyNumberFormat="1"/>
    <xf numFmtId="167" fontId="1" fillId="0" borderId="0" xfId="0" applyNumberFormat="1" applyFont="1"/>
    <xf numFmtId="164" fontId="0" fillId="0" borderId="0" xfId="3" applyFont="1"/>
    <xf numFmtId="0" fontId="0" fillId="2" borderId="0" xfId="0" applyFill="1"/>
    <xf numFmtId="168" fontId="0" fillId="0" borderId="0" xfId="0" applyNumberFormat="1"/>
    <xf numFmtId="0" fontId="5" fillId="0" borderId="0" xfId="0" applyFont="1"/>
    <xf numFmtId="0" fontId="2" fillId="0" borderId="0" xfId="1"/>
    <xf numFmtId="0" fontId="0" fillId="4" borderId="0" xfId="0" applyFill="1"/>
    <xf numFmtId="0" fontId="0" fillId="5" borderId="0" xfId="0" applyFill="1"/>
    <xf numFmtId="0" fontId="0" fillId="6" borderId="0" xfId="0" applyFill="1"/>
    <xf numFmtId="0" fontId="0" fillId="0" borderId="0" xfId="0" applyFill="1"/>
    <xf numFmtId="9" fontId="0" fillId="0" borderId="0" xfId="4" applyFont="1"/>
    <xf numFmtId="0" fontId="8" fillId="0" borderId="0" xfId="0" applyFont="1"/>
    <xf numFmtId="0" fontId="0" fillId="0" borderId="4" xfId="0" applyBorder="1"/>
    <xf numFmtId="0" fontId="0" fillId="0" borderId="5" xfId="0" applyBorder="1"/>
    <xf numFmtId="170" fontId="0" fillId="0" borderId="0" xfId="0" applyNumberFormat="1"/>
    <xf numFmtId="170" fontId="0" fillId="0" borderId="0" xfId="0" applyNumberFormat="1" applyFill="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171" fontId="0" fillId="0" borderId="0" xfId="2" applyNumberFormat="1" applyFont="1" applyFill="1"/>
    <xf numFmtId="167" fontId="0" fillId="2" borderId="0" xfId="2" applyNumberFormat="1" applyFont="1" applyFill="1"/>
    <xf numFmtId="171" fontId="0" fillId="2" borderId="0" xfId="2" applyNumberFormat="1" applyFont="1" applyFill="1"/>
    <xf numFmtId="164" fontId="0" fillId="2" borderId="0" xfId="3" applyFont="1" applyFill="1"/>
    <xf numFmtId="170" fontId="8" fillId="0" borderId="0" xfId="0" applyNumberFormat="1" applyFont="1"/>
    <xf numFmtId="0" fontId="0" fillId="7" borderId="0" xfId="0" applyFill="1" applyAlignment="1">
      <alignment horizontal="right"/>
    </xf>
    <xf numFmtId="164" fontId="0" fillId="7" borderId="0" xfId="3" applyFont="1" applyFill="1"/>
    <xf numFmtId="171" fontId="0" fillId="7" borderId="0" xfId="2" applyNumberFormat="1" applyFont="1" applyFill="1"/>
    <xf numFmtId="164" fontId="0" fillId="0" borderId="0" xfId="3" applyFont="1" applyFill="1"/>
    <xf numFmtId="168" fontId="0" fillId="7" borderId="0" xfId="3" applyNumberFormat="1" applyFont="1" applyFill="1"/>
    <xf numFmtId="9" fontId="0" fillId="7" borderId="0" xfId="4" applyFont="1" applyFill="1"/>
    <xf numFmtId="168" fontId="1" fillId="0" borderId="3" xfId="0" applyNumberFormat="1" applyFont="1" applyBorder="1"/>
    <xf numFmtId="168" fontId="1" fillId="0" borderId="0" xfId="0" applyNumberFormat="1" applyFont="1" applyBorder="1"/>
    <xf numFmtId="0" fontId="0" fillId="8" borderId="0" xfId="0" applyFill="1" applyAlignment="1">
      <alignment horizontal="center"/>
    </xf>
    <xf numFmtId="168" fontId="0" fillId="8" borderId="0" xfId="3" applyNumberFormat="1" applyFont="1" applyFill="1"/>
    <xf numFmtId="0" fontId="0" fillId="8" borderId="0" xfId="0" applyFill="1"/>
    <xf numFmtId="168" fontId="1" fillId="8" borderId="0" xfId="0" applyNumberFormat="1" applyFont="1" applyFill="1"/>
    <xf numFmtId="0" fontId="1" fillId="6" borderId="0" xfId="0" applyFont="1" applyFill="1"/>
    <xf numFmtId="0" fontId="0" fillId="6" borderId="0" xfId="0" applyFill="1" applyBorder="1"/>
    <xf numFmtId="0" fontId="0" fillId="6" borderId="0" xfId="0" applyFill="1" applyBorder="1" applyAlignment="1">
      <alignment horizontal="center"/>
    </xf>
    <xf numFmtId="168" fontId="0" fillId="6" borderId="0" xfId="3" applyNumberFormat="1" applyFont="1" applyFill="1" applyBorder="1"/>
    <xf numFmtId="168" fontId="1" fillId="6" borderId="0" xfId="0" applyNumberFormat="1" applyFont="1" applyFill="1" applyBorder="1"/>
    <xf numFmtId="168" fontId="0" fillId="6" borderId="0" xfId="0" applyNumberFormat="1" applyFill="1" applyBorder="1"/>
    <xf numFmtId="0" fontId="1" fillId="6" borderId="0" xfId="0" applyFont="1" applyFill="1" applyBorder="1"/>
    <xf numFmtId="0" fontId="1" fillId="3" borderId="0" xfId="0" applyFont="1" applyFill="1"/>
    <xf numFmtId="0" fontId="0" fillId="3" borderId="0" xfId="0" applyFill="1"/>
    <xf numFmtId="168" fontId="0" fillId="3" borderId="0" xfId="3" applyNumberFormat="1" applyFont="1" applyFill="1"/>
    <xf numFmtId="168" fontId="1" fillId="3" borderId="0" xfId="0" applyNumberFormat="1" applyFont="1" applyFill="1" applyBorder="1"/>
    <xf numFmtId="168" fontId="0" fillId="3" borderId="0" xfId="0" applyNumberFormat="1" applyFill="1" applyBorder="1"/>
    <xf numFmtId="168" fontId="1" fillId="3" borderId="0" xfId="0" applyNumberFormat="1" applyFont="1" applyFill="1"/>
    <xf numFmtId="168" fontId="0" fillId="3" borderId="0" xfId="0" applyNumberFormat="1" applyFill="1"/>
    <xf numFmtId="0" fontId="9" fillId="0" borderId="0" xfId="0" applyFont="1"/>
    <xf numFmtId="0" fontId="5" fillId="0" borderId="0" xfId="0" quotePrefix="1" applyFont="1" applyFill="1"/>
    <xf numFmtId="0" fontId="5" fillId="0" borderId="0" xfId="0" applyFont="1" applyFill="1"/>
    <xf numFmtId="0" fontId="1" fillId="8" borderId="0" xfId="0" applyFont="1" applyFill="1"/>
    <xf numFmtId="168" fontId="1" fillId="8" borderId="0" xfId="0" applyNumberFormat="1" applyFont="1" applyFill="1" applyBorder="1"/>
    <xf numFmtId="168" fontId="5" fillId="8" borderId="0" xfId="3" applyNumberFormat="1" applyFont="1" applyFill="1"/>
    <xf numFmtId="168" fontId="0" fillId="8" borderId="0" xfId="0" applyNumberFormat="1" applyFill="1" applyBorder="1"/>
    <xf numFmtId="0" fontId="1" fillId="2" borderId="0" xfId="0" applyFont="1" applyFill="1"/>
    <xf numFmtId="0" fontId="0" fillId="2" borderId="0" xfId="0" applyFill="1" applyAlignment="1">
      <alignment horizontal="center"/>
    </xf>
    <xf numFmtId="168" fontId="0" fillId="2" borderId="0" xfId="3" applyNumberFormat="1" applyFont="1" applyFill="1"/>
    <xf numFmtId="168" fontId="1" fillId="2" borderId="0" xfId="0" applyNumberFormat="1" applyFont="1" applyFill="1"/>
    <xf numFmtId="168" fontId="0" fillId="2" borderId="0" xfId="0" applyNumberFormat="1" applyFill="1"/>
    <xf numFmtId="168" fontId="1" fillId="2" borderId="3" xfId="0" applyNumberFormat="1" applyFont="1" applyFill="1" applyBorder="1"/>
    <xf numFmtId="0" fontId="1" fillId="0" borderId="2" xfId="0" applyFont="1" applyBorder="1"/>
    <xf numFmtId="0" fontId="1" fillId="0" borderId="0" xfId="0" applyFont="1" applyAlignment="1">
      <alignment vertical="top"/>
    </xf>
    <xf numFmtId="170" fontId="6" fillId="3" borderId="8" xfId="0" applyNumberFormat="1" applyFont="1" applyFill="1" applyBorder="1"/>
    <xf numFmtId="0" fontId="1" fillId="0" borderId="10" xfId="0" applyFont="1" applyBorder="1"/>
    <xf numFmtId="0" fontId="0" fillId="0" borderId="10" xfId="0" applyBorder="1"/>
    <xf numFmtId="172" fontId="0" fillId="0" borderId="10" xfId="0" applyNumberFormat="1" applyBorder="1"/>
    <xf numFmtId="172" fontId="1" fillId="0" borderId="10" xfId="0" applyNumberFormat="1" applyFont="1" applyBorder="1"/>
    <xf numFmtId="170" fontId="8" fillId="0" borderId="10" xfId="4" applyNumberFormat="1" applyFont="1" applyBorder="1"/>
    <xf numFmtId="172" fontId="0" fillId="0" borderId="10" xfId="0" applyNumberFormat="1" applyFont="1" applyBorder="1"/>
    <xf numFmtId="172" fontId="0" fillId="0" borderId="10" xfId="3" applyNumberFormat="1" applyFont="1" applyBorder="1"/>
    <xf numFmtId="172" fontId="1" fillId="0" borderId="11" xfId="0" applyNumberFormat="1" applyFont="1" applyBorder="1"/>
    <xf numFmtId="0" fontId="1" fillId="0" borderId="9" xfId="0" applyFont="1" applyBorder="1"/>
    <xf numFmtId="0" fontId="0" fillId="0" borderId="9" xfId="0" applyBorder="1"/>
    <xf numFmtId="172" fontId="0" fillId="0" borderId="9" xfId="0" applyNumberFormat="1" applyBorder="1"/>
    <xf numFmtId="172" fontId="1" fillId="0" borderId="9" xfId="0" applyNumberFormat="1" applyFont="1" applyBorder="1"/>
    <xf numFmtId="170" fontId="8" fillId="0" borderId="9" xfId="4" applyNumberFormat="1" applyFont="1" applyBorder="1"/>
    <xf numFmtId="172" fontId="0" fillId="0" borderId="9" xfId="0" applyNumberFormat="1" applyFont="1" applyBorder="1"/>
    <xf numFmtId="172" fontId="0" fillId="0" borderId="9" xfId="3" applyNumberFormat="1" applyFont="1" applyBorder="1"/>
    <xf numFmtId="172" fontId="1" fillId="0" borderId="12" xfId="0" applyNumberFormat="1" applyFont="1" applyBorder="1"/>
    <xf numFmtId="0" fontId="5" fillId="0" borderId="9" xfId="0" applyFont="1" applyBorder="1"/>
    <xf numFmtId="169" fontId="1" fillId="0" borderId="9" xfId="0" applyNumberFormat="1" applyFont="1" applyBorder="1"/>
    <xf numFmtId="0" fontId="0" fillId="0" borderId="10" xfId="0" applyFont="1" applyBorder="1"/>
    <xf numFmtId="170" fontId="0" fillId="0" borderId="10" xfId="0" applyNumberFormat="1" applyBorder="1"/>
    <xf numFmtId="0" fontId="1" fillId="0" borderId="13" xfId="0" applyFont="1" applyBorder="1"/>
    <xf numFmtId="0" fontId="0" fillId="0" borderId="14" xfId="0" applyBorder="1"/>
    <xf numFmtId="0" fontId="1" fillId="0" borderId="0" xfId="0" applyFont="1" applyBorder="1"/>
    <xf numFmtId="0" fontId="1" fillId="0" borderId="15" xfId="0" applyFont="1" applyBorder="1"/>
    <xf numFmtId="0" fontId="0" fillId="0" borderId="16" xfId="0" applyBorder="1"/>
    <xf numFmtId="0" fontId="0" fillId="0" borderId="0" xfId="0" applyBorder="1"/>
    <xf numFmtId="0" fontId="0" fillId="0" borderId="15" xfId="0" applyBorder="1"/>
    <xf numFmtId="0" fontId="0" fillId="0" borderId="9" xfId="0" applyFont="1" applyBorder="1"/>
    <xf numFmtId="166" fontId="0" fillId="0" borderId="0" xfId="0" applyNumberFormat="1" applyFont="1" applyBorder="1"/>
    <xf numFmtId="0" fontId="0" fillId="0" borderId="0" xfId="0" applyFont="1" applyBorder="1"/>
    <xf numFmtId="9" fontId="0" fillId="0" borderId="15" xfId="4" applyFont="1" applyBorder="1"/>
    <xf numFmtId="166" fontId="0" fillId="0" borderId="0" xfId="0" applyNumberFormat="1" applyBorder="1"/>
    <xf numFmtId="0" fontId="0" fillId="2" borderId="9" xfId="0" applyFill="1" applyBorder="1"/>
    <xf numFmtId="166" fontId="0" fillId="2" borderId="0" xfId="0" applyNumberFormat="1" applyFill="1" applyBorder="1"/>
    <xf numFmtId="0" fontId="0" fillId="2" borderId="0" xfId="0" applyFill="1" applyBorder="1"/>
    <xf numFmtId="0" fontId="0" fillId="2" borderId="9" xfId="0" applyFill="1" applyBorder="1" applyAlignment="1">
      <alignment horizontal="left" indent="1"/>
    </xf>
    <xf numFmtId="0" fontId="0" fillId="0" borderId="9" xfId="0" applyBorder="1" applyAlignment="1">
      <alignment horizontal="left" indent="1"/>
    </xf>
    <xf numFmtId="0" fontId="0" fillId="0" borderId="17" xfId="0" applyBorder="1"/>
    <xf numFmtId="0" fontId="0" fillId="0" borderId="6" xfId="0" applyBorder="1"/>
    <xf numFmtId="0" fontId="0" fillId="0" borderId="7" xfId="0" applyBorder="1"/>
    <xf numFmtId="0" fontId="0" fillId="0" borderId="13" xfId="0" applyBorder="1"/>
    <xf numFmtId="0" fontId="0" fillId="0" borderId="18" xfId="0" applyBorder="1"/>
    <xf numFmtId="0" fontId="3" fillId="0" borderId="1" xfId="0" applyFont="1" applyBorder="1"/>
    <xf numFmtId="167" fontId="0" fillId="0" borderId="1" xfId="0" applyNumberFormat="1" applyBorder="1"/>
    <xf numFmtId="0" fontId="0" fillId="0" borderId="19" xfId="0" applyBorder="1"/>
    <xf numFmtId="1" fontId="0" fillId="0" borderId="0" xfId="0" applyNumberFormat="1" applyFill="1"/>
    <xf numFmtId="0" fontId="1" fillId="3" borderId="0" xfId="0" applyFont="1" applyFill="1" applyAlignment="1">
      <alignment horizontal="center" wrapText="1"/>
    </xf>
    <xf numFmtId="0" fontId="1" fillId="3" borderId="0" xfId="0" applyFont="1" applyFill="1" applyAlignment="1">
      <alignment wrapText="1"/>
    </xf>
    <xf numFmtId="0" fontId="0" fillId="0" borderId="0" xfId="0" applyAlignment="1">
      <alignment wrapText="1"/>
    </xf>
    <xf numFmtId="0" fontId="0" fillId="4" borderId="0" xfId="0" applyFill="1" applyAlignment="1">
      <alignment wrapText="1"/>
    </xf>
    <xf numFmtId="0" fontId="0" fillId="6" borderId="0" xfId="0" applyFill="1" applyAlignment="1">
      <alignment wrapText="1"/>
    </xf>
    <xf numFmtId="0" fontId="0" fillId="2" borderId="0" xfId="0" applyFill="1" applyAlignment="1">
      <alignment wrapText="1"/>
    </xf>
    <xf numFmtId="168" fontId="1" fillId="0" borderId="7" xfId="3" applyNumberFormat="1" applyFont="1" applyBorder="1" applyAlignment="1">
      <alignment horizontal="center"/>
    </xf>
    <xf numFmtId="168" fontId="1" fillId="0" borderId="8" xfId="3" applyNumberFormat="1"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left"/>
    </xf>
    <xf numFmtId="0" fontId="1" fillId="0" borderId="0" xfId="0" applyFont="1" applyAlignment="1">
      <alignment horizontal="center" vertical="top" wrapText="1"/>
    </xf>
    <xf numFmtId="168" fontId="1" fillId="0" borderId="0" xfId="3" applyNumberFormat="1" applyFont="1"/>
    <xf numFmtId="168" fontId="10" fillId="0" borderId="0" xfId="3" applyNumberFormat="1" applyFont="1"/>
    <xf numFmtId="170" fontId="5" fillId="0" borderId="9" xfId="4" applyNumberFormat="1" applyFont="1" applyBorder="1"/>
    <xf numFmtId="170" fontId="0" fillId="0" borderId="0" xfId="4" applyNumberFormat="1" applyFont="1"/>
    <xf numFmtId="3" fontId="0" fillId="0" borderId="0" xfId="0" applyNumberFormat="1"/>
    <xf numFmtId="3" fontId="1" fillId="0" borderId="0" xfId="0" applyNumberFormat="1" applyFont="1"/>
  </cellXfs>
  <cellStyles count="5">
    <cellStyle name="Hyperlink" xfId="1" builtinId="8"/>
    <cellStyle name="Komma" xfId="2" builtinId="3"/>
    <cellStyle name="Procent" xfId="4" builtinId="5"/>
    <cellStyle name="Standaard" xfId="0" builtinId="0"/>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bs.nl/nl-nl/maatwerk/2016/22/witte-vlekken-op-pensioengebied-2013" TargetMode="External"/><Relationship Id="rId3" Type="http://schemas.openxmlformats.org/officeDocument/2006/relationships/hyperlink" Target="https://opendata.cbs.nl/statline/" TargetMode="External"/><Relationship Id="rId7" Type="http://schemas.openxmlformats.org/officeDocument/2006/relationships/hyperlink" Target="https://www.cbs.nl/nl-nl/maatwerk/2017/22/kwalitatief-onderzoek-bij-analyse-witte-vlekken" TargetMode="External"/><Relationship Id="rId12" Type="http://schemas.openxmlformats.org/officeDocument/2006/relationships/comments" Target="../comments1.xml"/><Relationship Id="rId2" Type="http://schemas.openxmlformats.org/officeDocument/2006/relationships/hyperlink" Target="https://www.cbs.nl/nl-nl/nieuws/2010/03/een-op-tien-werknemers-bouwt-geen-aanvullend-pensioen-op" TargetMode="External"/><Relationship Id="rId1" Type="http://schemas.openxmlformats.org/officeDocument/2006/relationships/hyperlink" Target="https://www.salarisnet.nl/2017/06/witte-werknemers-waarom-geen-deelname-aan-pensioenregeling/?vakmedianet-approve-cookies=1&amp;_ga=2.15538486.1894379050.1541081021-1538711392.1536939464" TargetMode="External"/><Relationship Id="rId6" Type="http://schemas.openxmlformats.org/officeDocument/2006/relationships/hyperlink" Target="https://www.ikwordzzper.nl/blogs/in-2017-betaal-je-geen-belasting-tot-een-winst-van-26832" TargetMode="External"/><Relationship Id="rId11" Type="http://schemas.openxmlformats.org/officeDocument/2006/relationships/vmlDrawing" Target="../drawings/vmlDrawing1.vml"/><Relationship Id="rId5" Type="http://schemas.openxmlformats.org/officeDocument/2006/relationships/hyperlink" Target="https://www.volkskrant.nl/nieuws-achtergrond/cbs-4-op-de-10-zzp-ers-betalen-geen-inkomstenbelasting-~b878b731/" TargetMode="External"/><Relationship Id="rId10" Type="http://schemas.openxmlformats.org/officeDocument/2006/relationships/printerSettings" Target="../printerSettings/printerSettings1.bin"/><Relationship Id="rId4" Type="http://schemas.openxmlformats.org/officeDocument/2006/relationships/hyperlink" Target="https://www.cbs.nl/nl-nl/nieuws/2017/52/ruim-helft-zzp-ers-heeft-ook-andere-inkomensbron" TargetMode="External"/><Relationship Id="rId9" Type="http://schemas.openxmlformats.org/officeDocument/2006/relationships/hyperlink" Target="https://www.cbs.nl/nl-nl/nieuws/2017/28/kwart-zzp-ers-heeft-geen-pensioenvoorzienin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bs.nl/nl-nl/nieuws/2017/52/ruim-helft-zzp-ers-heeft-ook-andere-inkomensbr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opendata.cbs.nl/statlin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68C12-7AA8-44BA-BADB-587742A35C18}">
  <dimension ref="A1:H49"/>
  <sheetViews>
    <sheetView tabSelected="1" workbookViewId="0">
      <selection activeCell="F25" sqref="F25"/>
    </sheetView>
  </sheetViews>
  <sheetFormatPr baseColWidth="10" defaultColWidth="8.83203125" defaultRowHeight="15" x14ac:dyDescent="0.2"/>
  <cols>
    <col min="1" max="1" width="32.33203125" customWidth="1"/>
    <col min="2" max="2" width="2.33203125" customWidth="1"/>
    <col min="3" max="3" width="16.6640625" style="44" customWidth="1"/>
    <col min="4" max="4" width="16.6640625" style="19" customWidth="1"/>
    <col min="5" max="5" width="2.33203125" customWidth="1"/>
    <col min="6" max="6" width="19.5" customWidth="1"/>
    <col min="8" max="8" width="16" style="137" customWidth="1"/>
    <col min="9" max="9" width="13.5" bestFit="1" customWidth="1"/>
  </cols>
  <sheetData>
    <row r="1" spans="1:8" ht="16" x14ac:dyDescent="0.2">
      <c r="A1" s="60" t="s">
        <v>86</v>
      </c>
    </row>
    <row r="3" spans="1:8" s="4" customFormat="1" ht="32" x14ac:dyDescent="0.2">
      <c r="A3" s="53" t="s">
        <v>104</v>
      </c>
      <c r="B3" s="53"/>
      <c r="C3" s="122" t="s">
        <v>108</v>
      </c>
      <c r="D3" s="122" t="s">
        <v>109</v>
      </c>
      <c r="E3" s="53"/>
      <c r="F3" s="123" t="s">
        <v>110</v>
      </c>
      <c r="H3" s="138"/>
    </row>
    <row r="4" spans="1:8" x14ac:dyDescent="0.2">
      <c r="A4" s="54" t="s">
        <v>79</v>
      </c>
      <c r="B4" s="54"/>
      <c r="C4" s="55">
        <f>Methode1!U29</f>
        <v>986201175.08172846</v>
      </c>
      <c r="D4" s="55">
        <f>Methode1!T29</f>
        <v>1675042132.2981122</v>
      </c>
      <c r="E4" s="54"/>
      <c r="F4" s="56">
        <f>AVERAGE(C4:D4)</f>
        <v>1330621653.6899204</v>
      </c>
    </row>
    <row r="5" spans="1:8" x14ac:dyDescent="0.2">
      <c r="A5" s="54" t="s">
        <v>80</v>
      </c>
      <c r="B5" s="54"/>
      <c r="C5" s="55">
        <f>'Methode 2'!T23</f>
        <v>1111174325.408</v>
      </c>
      <c r="D5" s="55">
        <f>'Methode 2'!T31</f>
        <v>2159686771.2000003</v>
      </c>
      <c r="E5" s="54"/>
      <c r="F5" s="56">
        <f t="shared" ref="F5:F7" si="0">AVERAGE(C5:D5)</f>
        <v>1635430548.3040001</v>
      </c>
    </row>
    <row r="6" spans="1:8" x14ac:dyDescent="0.2">
      <c r="A6" s="54"/>
      <c r="B6" s="54"/>
      <c r="C6" s="54"/>
      <c r="D6" s="54"/>
      <c r="E6" s="54"/>
      <c r="F6" s="57"/>
    </row>
    <row r="7" spans="1:8" x14ac:dyDescent="0.2">
      <c r="A7" s="54" t="s">
        <v>84</v>
      </c>
      <c r="B7" s="54"/>
      <c r="C7" s="58">
        <f>AVERAGE(C4:C5)</f>
        <v>1048687750.2448642</v>
      </c>
      <c r="D7" s="58">
        <f>AVERAGE(D4:D5)</f>
        <v>1917364451.7490563</v>
      </c>
      <c r="E7" s="53"/>
      <c r="F7" s="56">
        <f t="shared" si="0"/>
        <v>1483026100.9969602</v>
      </c>
    </row>
    <row r="8" spans="1:8" x14ac:dyDescent="0.2">
      <c r="A8" s="54"/>
      <c r="B8" s="54"/>
      <c r="C8" s="54"/>
      <c r="D8" s="54"/>
      <c r="E8" s="54"/>
      <c r="F8" s="59"/>
    </row>
    <row r="9" spans="1:8" x14ac:dyDescent="0.2">
      <c r="A9" s="63" t="s">
        <v>103</v>
      </c>
      <c r="B9" s="44"/>
      <c r="D9" s="44"/>
      <c r="E9" s="44"/>
      <c r="F9" s="44"/>
    </row>
    <row r="10" spans="1:8" x14ac:dyDescent="0.2">
      <c r="A10" s="44"/>
      <c r="B10" s="44"/>
      <c r="C10" s="42" t="s">
        <v>77</v>
      </c>
      <c r="D10" s="42" t="s">
        <v>78</v>
      </c>
      <c r="E10" s="44"/>
      <c r="F10" s="44" t="s">
        <v>85</v>
      </c>
    </row>
    <row r="11" spans="1:8" x14ac:dyDescent="0.2">
      <c r="A11" s="44" t="s">
        <v>79</v>
      </c>
      <c r="B11" s="44"/>
      <c r="C11" s="43">
        <f>C4/13.3%*17%</f>
        <v>1260557892.9616077</v>
      </c>
      <c r="D11" s="43">
        <f>D4/13.3%*17%</f>
        <v>2141031296.922399</v>
      </c>
      <c r="E11" s="44"/>
      <c r="F11" s="64">
        <f>AVERAGE(C11:D11)</f>
        <v>1700794594.9420033</v>
      </c>
    </row>
    <row r="12" spans="1:8" x14ac:dyDescent="0.2">
      <c r="A12" s="44" t="s">
        <v>80</v>
      </c>
      <c r="B12" s="44"/>
      <c r="C12" s="43">
        <f>C5/13.3%*17%</f>
        <v>1420298009.9199998</v>
      </c>
      <c r="D12" s="65">
        <f>D5/2/13.3%*17%+'Methode 2'!T$15*7167</f>
        <v>2032017924.0000002</v>
      </c>
      <c r="E12" s="44"/>
      <c r="F12" s="64">
        <f>AVERAGE(C12:D12)</f>
        <v>1726157966.96</v>
      </c>
    </row>
    <row r="13" spans="1:8" x14ac:dyDescent="0.2">
      <c r="A13" s="44"/>
      <c r="B13" s="44"/>
      <c r="D13" s="44"/>
      <c r="E13" s="44"/>
      <c r="F13" s="66"/>
    </row>
    <row r="14" spans="1:8" x14ac:dyDescent="0.2">
      <c r="A14" s="44" t="s">
        <v>84</v>
      </c>
      <c r="B14" s="44"/>
      <c r="C14" s="45">
        <f>AVERAGE(C11:C12)</f>
        <v>1340427951.4408038</v>
      </c>
      <c r="D14" s="45">
        <f>AVERAGE(D11:D12)</f>
        <v>2086524610.4611998</v>
      </c>
      <c r="E14" s="63"/>
      <c r="F14" s="64">
        <f t="shared" ref="F14" si="1">AVERAGE(C14:D14)</f>
        <v>1713476280.9510016</v>
      </c>
    </row>
    <row r="15" spans="1:8" x14ac:dyDescent="0.2">
      <c r="A15" s="44"/>
      <c r="B15" s="44"/>
      <c r="D15" s="44"/>
      <c r="E15" s="44"/>
      <c r="F15" s="44"/>
    </row>
    <row r="16" spans="1:8" x14ac:dyDescent="0.2">
      <c r="A16" s="46" t="s">
        <v>101</v>
      </c>
      <c r="B16" s="18"/>
      <c r="C16" s="18"/>
      <c r="D16" s="18"/>
      <c r="E16" s="18"/>
      <c r="F16" s="18"/>
    </row>
    <row r="17" spans="1:6" x14ac:dyDescent="0.2">
      <c r="A17" s="47"/>
      <c r="B17" s="47"/>
      <c r="C17" s="48" t="s">
        <v>77</v>
      </c>
      <c r="D17" s="48" t="s">
        <v>78</v>
      </c>
      <c r="E17" s="47"/>
      <c r="F17" s="47" t="s">
        <v>85</v>
      </c>
    </row>
    <row r="18" spans="1:6" x14ac:dyDescent="0.2">
      <c r="A18" s="47" t="s">
        <v>79</v>
      </c>
      <c r="B18" s="47"/>
      <c r="C18" s="49">
        <f>C4+C11</f>
        <v>2246759068.0433359</v>
      </c>
      <c r="D18" s="49">
        <f>D4+D11</f>
        <v>3816073429.2205114</v>
      </c>
      <c r="E18" s="47"/>
      <c r="F18" s="50">
        <f>AVERAGE(C18:D18)</f>
        <v>3031416248.6319237</v>
      </c>
    </row>
    <row r="19" spans="1:6" x14ac:dyDescent="0.2">
      <c r="A19" s="47" t="s">
        <v>80</v>
      </c>
      <c r="B19" s="47"/>
      <c r="C19" s="49">
        <f>C5+C12</f>
        <v>2531472335.3280001</v>
      </c>
      <c r="D19" s="49">
        <f>D5+D12</f>
        <v>4191704695.2000008</v>
      </c>
      <c r="E19" s="47"/>
      <c r="F19" s="50">
        <f t="shared" ref="F19" si="2">AVERAGE(C19:D19)</f>
        <v>3361588515.2640004</v>
      </c>
    </row>
    <row r="20" spans="1:6" x14ac:dyDescent="0.2">
      <c r="A20" s="47"/>
      <c r="B20" s="47"/>
      <c r="C20" s="47"/>
      <c r="D20" s="47"/>
      <c r="E20" s="47"/>
      <c r="F20" s="51"/>
    </row>
    <row r="21" spans="1:6" x14ac:dyDescent="0.2">
      <c r="A21" s="47" t="s">
        <v>84</v>
      </c>
      <c r="B21" s="47"/>
      <c r="C21" s="50">
        <f>AVERAGE(C18:C19)</f>
        <v>2389115701.685668</v>
      </c>
      <c r="D21" s="50">
        <f>AVERAGE(D18:D19)</f>
        <v>4003889062.2102561</v>
      </c>
      <c r="E21" s="52"/>
      <c r="F21" s="50">
        <f t="shared" ref="F21" si="3">AVERAGE(C21:D21)</f>
        <v>3196502381.9479618</v>
      </c>
    </row>
    <row r="22" spans="1:6" x14ac:dyDescent="0.2">
      <c r="A22" s="18"/>
      <c r="B22" s="18"/>
      <c r="C22" s="18"/>
      <c r="D22" s="18"/>
      <c r="E22" s="18"/>
      <c r="F22" s="18"/>
    </row>
    <row r="23" spans="1:6" ht="16" thickBot="1" x14ac:dyDescent="0.25">
      <c r="A23" s="67" t="s">
        <v>98</v>
      </c>
      <c r="B23" s="12"/>
      <c r="C23" s="68" t="s">
        <v>77</v>
      </c>
      <c r="D23" s="68" t="s">
        <v>78</v>
      </c>
      <c r="E23" s="12"/>
      <c r="F23" s="12" t="s">
        <v>85</v>
      </c>
    </row>
    <row r="24" spans="1:6" ht="16" thickBot="1" x14ac:dyDescent="0.25">
      <c r="A24" s="12" t="s">
        <v>79</v>
      </c>
      <c r="B24" s="12"/>
      <c r="C24" s="69">
        <f>C18*0.4085</f>
        <v>917801079.2957027</v>
      </c>
      <c r="D24" s="69">
        <f>D18*0.4085</f>
        <v>1558865995.8365788</v>
      </c>
      <c r="E24" s="12"/>
      <c r="F24" s="72">
        <f>AVERAGE(C24:D24)</f>
        <v>1238333537.5661407</v>
      </c>
    </row>
    <row r="25" spans="1:6" ht="16" thickBot="1" x14ac:dyDescent="0.25">
      <c r="A25" s="12" t="s">
        <v>80</v>
      </c>
      <c r="B25" s="12"/>
      <c r="C25" s="69">
        <f>C19*0.4085</f>
        <v>1034106448.981488</v>
      </c>
      <c r="D25" s="69">
        <f>D19*0.4085</f>
        <v>1712311367.9892001</v>
      </c>
      <c r="E25" s="12"/>
      <c r="F25" s="72">
        <f t="shared" ref="F25" si="4">AVERAGE(C25:D25)</f>
        <v>1373208908.4853439</v>
      </c>
    </row>
    <row r="26" spans="1:6" ht="16" thickBot="1" x14ac:dyDescent="0.25">
      <c r="A26" s="12"/>
      <c r="B26" s="12"/>
      <c r="C26" s="12"/>
      <c r="D26" s="12"/>
      <c r="E26" s="12"/>
      <c r="F26" s="71"/>
    </row>
    <row r="27" spans="1:6" ht="16" thickBot="1" x14ac:dyDescent="0.25">
      <c r="A27" s="67" t="s">
        <v>84</v>
      </c>
      <c r="B27" s="12"/>
      <c r="C27" s="70">
        <f>AVERAGE(C24:C25)</f>
        <v>975953764.13859534</v>
      </c>
      <c r="D27" s="70">
        <f>AVERAGE(D24:D25)</f>
        <v>1635588681.9128895</v>
      </c>
      <c r="E27" s="67"/>
      <c r="F27" s="72">
        <f>AVERAGE(C27:D27)</f>
        <v>1305771223.0257425</v>
      </c>
    </row>
    <row r="28" spans="1:6" x14ac:dyDescent="0.2">
      <c r="A28" s="12"/>
      <c r="B28" s="12"/>
      <c r="C28" s="12"/>
      <c r="D28" s="12"/>
      <c r="E28" s="12"/>
      <c r="F28" s="12"/>
    </row>
    <row r="29" spans="1:6" x14ac:dyDescent="0.2">
      <c r="C29"/>
      <c r="D29"/>
    </row>
    <row r="30" spans="1:6" x14ac:dyDescent="0.2">
      <c r="C30"/>
    </row>
    <row r="31" spans="1:6" x14ac:dyDescent="0.2">
      <c r="C31"/>
    </row>
    <row r="32" spans="1:6" x14ac:dyDescent="0.2">
      <c r="A32" s="14" t="s">
        <v>93</v>
      </c>
      <c r="C32"/>
    </row>
    <row r="33" spans="1:3" x14ac:dyDescent="0.2">
      <c r="A33" s="14" t="s">
        <v>95</v>
      </c>
      <c r="C33"/>
    </row>
    <row r="34" spans="1:3" x14ac:dyDescent="0.2">
      <c r="A34" s="14" t="s">
        <v>94</v>
      </c>
      <c r="C34"/>
    </row>
    <row r="35" spans="1:3" x14ac:dyDescent="0.2">
      <c r="A35" s="14" t="s">
        <v>96</v>
      </c>
      <c r="C35"/>
    </row>
    <row r="36" spans="1:3" x14ac:dyDescent="0.2">
      <c r="A36" s="14" t="s">
        <v>100</v>
      </c>
      <c r="C36"/>
    </row>
    <row r="37" spans="1:3" x14ac:dyDescent="0.2">
      <c r="C37"/>
    </row>
    <row r="38" spans="1:3" x14ac:dyDescent="0.2">
      <c r="A38" s="14" t="s">
        <v>99</v>
      </c>
      <c r="C38"/>
    </row>
    <row r="39" spans="1:3" x14ac:dyDescent="0.2">
      <c r="A39" s="14"/>
      <c r="C39"/>
    </row>
    <row r="40" spans="1:3" x14ac:dyDescent="0.2">
      <c r="A40" t="s">
        <v>62</v>
      </c>
      <c r="C40"/>
    </row>
    <row r="41" spans="1:3" x14ac:dyDescent="0.2">
      <c r="A41" s="15" t="s">
        <v>23</v>
      </c>
      <c r="C41"/>
    </row>
    <row r="42" spans="1:3" x14ac:dyDescent="0.2">
      <c r="A42" s="15" t="s">
        <v>35</v>
      </c>
      <c r="C42"/>
    </row>
    <row r="43" spans="1:3" x14ac:dyDescent="0.2">
      <c r="A43" s="15" t="s">
        <v>63</v>
      </c>
      <c r="C43"/>
    </row>
    <row r="44" spans="1:3" x14ac:dyDescent="0.2">
      <c r="A44" s="15" t="s">
        <v>36</v>
      </c>
      <c r="C44"/>
    </row>
    <row r="45" spans="1:3" x14ac:dyDescent="0.2">
      <c r="A45" s="15" t="s">
        <v>82</v>
      </c>
      <c r="C45"/>
    </row>
    <row r="46" spans="1:3" x14ac:dyDescent="0.2">
      <c r="A46" s="15" t="s">
        <v>83</v>
      </c>
      <c r="C46"/>
    </row>
    <row r="47" spans="1:3" x14ac:dyDescent="0.2">
      <c r="A47" s="15" t="s">
        <v>91</v>
      </c>
      <c r="C47"/>
    </row>
    <row r="48" spans="1:3" x14ac:dyDescent="0.2">
      <c r="A48" s="15" t="s">
        <v>92</v>
      </c>
      <c r="C48"/>
    </row>
    <row r="49" spans="1:3" x14ac:dyDescent="0.2">
      <c r="A49" s="15" t="s">
        <v>97</v>
      </c>
      <c r="C49"/>
    </row>
  </sheetData>
  <hyperlinks>
    <hyperlink ref="A42" r:id="rId1" xr:uid="{7453A8CE-25E2-4F81-A0BF-769644C5BF11}"/>
    <hyperlink ref="A43" r:id="rId2" xr:uid="{1177BC38-5AA9-46FE-8497-FE052AE5AD4C}"/>
    <hyperlink ref="A44" r:id="rId3" location="/CBS/nl/dataset/71512ned/table?ts=1541081928757" xr:uid="{98450FDA-4EEC-4B2F-8E01-6F7AA8303941}"/>
    <hyperlink ref="A41" r:id="rId4" xr:uid="{18B10577-16F6-499E-B221-B288C8ADC18C}"/>
    <hyperlink ref="A45" r:id="rId5" xr:uid="{CF41708D-3817-47D8-A8D3-9B137B49B45A}"/>
    <hyperlink ref="A46" r:id="rId6" xr:uid="{C3F35127-0A40-4D1F-BCBE-F71520646614}"/>
    <hyperlink ref="A47" r:id="rId7" xr:uid="{5A513710-09C9-4BED-9E24-D6F8FAE7E299}"/>
    <hyperlink ref="A48" r:id="rId8" xr:uid="{09FC678E-2CEE-4D34-A8EC-7EA6079C68D7}"/>
    <hyperlink ref="A49" r:id="rId9" xr:uid="{FF47A870-E009-4476-9133-186154EF3750}"/>
  </hyperlinks>
  <pageMargins left="0.7" right="0.7" top="0.75" bottom="0.75" header="0.3" footer="0.3"/>
  <pageSetup paperSize="9" orientation="portrait" horizontalDpi="0" verticalDpi="0"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2"/>
  <sheetViews>
    <sheetView zoomScaleNormal="100" workbookViewId="0">
      <selection activeCell="A23" sqref="A23"/>
    </sheetView>
  </sheetViews>
  <sheetFormatPr baseColWidth="10" defaultColWidth="8.83203125" defaultRowHeight="15" x14ac:dyDescent="0.2"/>
  <cols>
    <col min="1" max="1" width="53.6640625" bestFit="1" customWidth="1"/>
    <col min="2" max="2" width="13.33203125" bestFit="1" customWidth="1"/>
    <col min="3" max="8" width="10.6640625" customWidth="1"/>
    <col min="15" max="15" width="10.5" bestFit="1" customWidth="1"/>
    <col min="19" max="19" width="2.33203125" customWidth="1"/>
    <col min="20" max="20" width="17.5" style="85" bestFit="1" customWidth="1"/>
    <col min="21" max="21" width="16.5" style="77" bestFit="1" customWidth="1"/>
  </cols>
  <sheetData>
    <row r="1" spans="1:16384" ht="51" customHeight="1" x14ac:dyDescent="0.2">
      <c r="A1" s="96" t="s">
        <v>15</v>
      </c>
      <c r="B1" s="2"/>
      <c r="C1" s="2"/>
      <c r="D1" s="2"/>
      <c r="E1" s="2"/>
      <c r="F1" s="2"/>
      <c r="G1" s="2"/>
      <c r="H1" s="2"/>
      <c r="I1" s="2"/>
      <c r="J1" s="97"/>
      <c r="M1" s="132" t="s">
        <v>24</v>
      </c>
      <c r="N1" s="132"/>
      <c r="O1" s="132" t="s">
        <v>87</v>
      </c>
      <c r="P1" s="132"/>
      <c r="Q1" s="132" t="s">
        <v>25</v>
      </c>
      <c r="R1" s="132"/>
      <c r="S1" s="74"/>
      <c r="T1" s="132" t="s">
        <v>32</v>
      </c>
      <c r="U1" s="132"/>
      <c r="W1" t="s">
        <v>26</v>
      </c>
    </row>
    <row r="2" spans="1:16384" s="4" customFormat="1" x14ac:dyDescent="0.2">
      <c r="A2" s="96"/>
      <c r="B2" s="73" t="s">
        <v>4</v>
      </c>
      <c r="C2" s="130" t="s">
        <v>12</v>
      </c>
      <c r="D2" s="130"/>
      <c r="E2" s="130" t="s">
        <v>13</v>
      </c>
      <c r="F2" s="130"/>
      <c r="G2" s="131" t="s">
        <v>14</v>
      </c>
      <c r="H2" s="131"/>
      <c r="I2" s="98"/>
      <c r="J2" s="99" t="s">
        <v>106</v>
      </c>
      <c r="M2" s="4" t="s">
        <v>28</v>
      </c>
      <c r="N2" s="4" t="s">
        <v>27</v>
      </c>
      <c r="O2" s="4" t="s">
        <v>29</v>
      </c>
      <c r="P2" s="4" t="s">
        <v>30</v>
      </c>
      <c r="Q2" s="4" t="s">
        <v>31</v>
      </c>
      <c r="R2" s="4" t="s">
        <v>30</v>
      </c>
      <c r="T2" s="84" t="s">
        <v>33</v>
      </c>
      <c r="U2" s="76" t="s">
        <v>34</v>
      </c>
    </row>
    <row r="3" spans="1:16384" x14ac:dyDescent="0.2">
      <c r="A3" s="114"/>
      <c r="B3" s="115"/>
      <c r="C3" s="115" t="s">
        <v>3</v>
      </c>
      <c r="D3" s="115" t="s">
        <v>0</v>
      </c>
      <c r="E3" s="115" t="s">
        <v>3</v>
      </c>
      <c r="F3" s="115" t="s">
        <v>0</v>
      </c>
      <c r="G3" s="115" t="s">
        <v>3</v>
      </c>
      <c r="H3" s="115" t="s">
        <v>0</v>
      </c>
      <c r="I3" s="2"/>
      <c r="J3" s="97"/>
      <c r="K3" s="2"/>
      <c r="L3" s="2"/>
      <c r="M3" s="2"/>
      <c r="N3" s="2"/>
      <c r="O3" s="2"/>
      <c r="P3" s="2"/>
      <c r="Q3" s="2"/>
      <c r="R3" s="2"/>
      <c r="S3" s="2"/>
      <c r="T3" s="116"/>
      <c r="U3" s="117"/>
    </row>
    <row r="4" spans="1:16384" x14ac:dyDescent="0.2">
      <c r="A4" s="100"/>
      <c r="B4" s="118" t="s">
        <v>5</v>
      </c>
      <c r="C4" s="118" t="s">
        <v>6</v>
      </c>
      <c r="D4" s="1"/>
      <c r="E4" s="1"/>
      <c r="F4" s="1"/>
      <c r="G4" s="1"/>
      <c r="H4" s="1"/>
      <c r="I4" s="1"/>
      <c r="J4" s="113"/>
      <c r="K4" s="128" t="s">
        <v>105</v>
      </c>
      <c r="L4" s="128"/>
      <c r="M4" s="128"/>
      <c r="N4" s="129"/>
      <c r="O4" s="75">
        <v>0.9</v>
      </c>
      <c r="P4" s="1"/>
      <c r="Q4" s="119"/>
      <c r="R4" s="1"/>
      <c r="S4" s="1"/>
      <c r="T4" s="100"/>
      <c r="U4" s="120"/>
      <c r="W4" s="8" t="s">
        <v>90</v>
      </c>
    </row>
    <row r="5" spans="1:16384" x14ac:dyDescent="0.2">
      <c r="A5" s="85"/>
      <c r="B5" s="101"/>
      <c r="C5" s="101"/>
      <c r="D5" s="101"/>
      <c r="E5" s="101"/>
      <c r="F5" s="101"/>
      <c r="G5" s="101"/>
      <c r="H5" s="101"/>
      <c r="I5" s="101"/>
      <c r="J5" s="102"/>
      <c r="L5" s="8"/>
      <c r="M5" s="8"/>
      <c r="N5" s="8"/>
      <c r="Q5" s="9"/>
      <c r="Y5" s="8"/>
    </row>
    <row r="6" spans="1:16384" s="6" customFormat="1" x14ac:dyDescent="0.2">
      <c r="A6" s="103" t="s">
        <v>7</v>
      </c>
      <c r="B6" s="104">
        <v>1457.4</v>
      </c>
      <c r="C6" s="104">
        <v>34.9</v>
      </c>
      <c r="D6" s="104">
        <v>26.1</v>
      </c>
      <c r="E6" s="104">
        <v>3.4</v>
      </c>
      <c r="F6" s="104">
        <v>0</v>
      </c>
      <c r="G6" s="105"/>
      <c r="H6" s="105"/>
      <c r="I6" s="105"/>
      <c r="J6" s="106">
        <f>B6/B$6</f>
        <v>1</v>
      </c>
      <c r="L6" s="8"/>
      <c r="M6" s="8"/>
      <c r="N6" s="8"/>
      <c r="O6" s="8"/>
      <c r="P6"/>
      <c r="Q6" s="9"/>
      <c r="R6"/>
      <c r="S6"/>
      <c r="T6" s="85"/>
      <c r="U6" s="94"/>
    </row>
    <row r="7" spans="1:16384" x14ac:dyDescent="0.2">
      <c r="A7" s="85"/>
      <c r="B7" s="107"/>
      <c r="C7" s="107"/>
      <c r="D7" s="107"/>
      <c r="E7" s="107"/>
      <c r="F7" s="107"/>
      <c r="G7" s="101"/>
      <c r="H7" s="101"/>
      <c r="I7" s="101"/>
      <c r="J7" s="106"/>
      <c r="L7" s="8"/>
      <c r="M7" s="8"/>
      <c r="N7" s="8"/>
      <c r="O7" s="8"/>
      <c r="Q7" s="9"/>
    </row>
    <row r="8" spans="1:16384" x14ac:dyDescent="0.2">
      <c r="A8" s="85" t="s">
        <v>1</v>
      </c>
      <c r="B8" s="107">
        <v>909.4</v>
      </c>
      <c r="C8" s="107">
        <v>34.799999999999997</v>
      </c>
      <c r="D8" s="107">
        <v>25.4</v>
      </c>
      <c r="E8" s="107">
        <v>2.5</v>
      </c>
      <c r="F8" s="107">
        <v>0</v>
      </c>
      <c r="G8" s="101"/>
      <c r="H8" s="101"/>
      <c r="I8" s="101"/>
      <c r="J8" s="106"/>
      <c r="K8" s="20">
        <f>B8/B$8</f>
        <v>1</v>
      </c>
      <c r="L8" s="8"/>
      <c r="M8" s="8"/>
      <c r="N8" s="8"/>
      <c r="O8" s="8"/>
      <c r="Q8" s="9"/>
    </row>
    <row r="9" spans="1:16384" s="12" customFormat="1" x14ac:dyDescent="0.2">
      <c r="A9" s="108" t="s">
        <v>16</v>
      </c>
      <c r="B9" s="109">
        <v>653.79999999999995</v>
      </c>
      <c r="C9" s="109">
        <v>36.9</v>
      </c>
      <c r="D9" s="109">
        <v>28</v>
      </c>
      <c r="E9" s="109">
        <v>0</v>
      </c>
      <c r="F9" s="109">
        <v>0</v>
      </c>
      <c r="G9" s="110"/>
      <c r="H9" s="110"/>
      <c r="I9" s="110"/>
      <c r="J9" s="106">
        <f t="shared" ref="J9:J20" si="0">B9/B$6</f>
        <v>0.44860710854947161</v>
      </c>
      <c r="K9" s="20">
        <f>B9/B$8</f>
        <v>0.71893556190895092</v>
      </c>
      <c r="L9" s="8"/>
      <c r="M9" s="8">
        <f>(C9+E9+G9-12.129)*0.133*1000</f>
        <v>3294.5430000000006</v>
      </c>
      <c r="N9" s="8">
        <f>(D9+F9+H9-12.129)*0.133*1000</f>
        <v>2110.8429999999998</v>
      </c>
      <c r="O9" s="8">
        <f>-M9*((E9+G9)/(C9+E9+G9))*$O$4</f>
        <v>0</v>
      </c>
      <c r="P9" s="8">
        <f>-N9*((F9+H9)/(D9+F9+H9))*$O$4</f>
        <v>0</v>
      </c>
      <c r="Q9" s="13">
        <f>M9+O9</f>
        <v>3294.5430000000006</v>
      </c>
      <c r="R9" s="13">
        <f>N9+P9</f>
        <v>2110.8429999999998</v>
      </c>
      <c r="S9"/>
      <c r="T9" s="86">
        <f>$B9*1000*Q9</f>
        <v>2153972213.4000006</v>
      </c>
      <c r="U9" s="78">
        <f>$B9*1000*R9</f>
        <v>1380069153.3999999</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pans="1:16384" x14ac:dyDescent="0.2">
      <c r="A10" s="85" t="s">
        <v>17</v>
      </c>
      <c r="B10" s="107">
        <v>255.7</v>
      </c>
      <c r="C10" s="107">
        <v>29.4</v>
      </c>
      <c r="D10" s="107">
        <v>19.899999999999999</v>
      </c>
      <c r="E10" s="107">
        <v>9.1</v>
      </c>
      <c r="F10" s="107">
        <v>6.7</v>
      </c>
      <c r="G10" s="101"/>
      <c r="H10" s="101"/>
      <c r="I10" s="101"/>
      <c r="J10" s="106"/>
      <c r="L10" s="8"/>
      <c r="M10" s="8"/>
      <c r="N10" s="8"/>
      <c r="O10" s="8"/>
      <c r="T10" s="86"/>
      <c r="U10" s="78"/>
    </row>
    <row r="11" spans="1:16384" s="12" customFormat="1" x14ac:dyDescent="0.2">
      <c r="A11" s="111" t="s">
        <v>18</v>
      </c>
      <c r="B11" s="109">
        <v>103.4</v>
      </c>
      <c r="C11" s="109">
        <v>27.4</v>
      </c>
      <c r="D11" s="109">
        <v>16.7</v>
      </c>
      <c r="E11" s="109">
        <v>8.6999999999999993</v>
      </c>
      <c r="F11" s="109">
        <v>6</v>
      </c>
      <c r="G11" s="110"/>
      <c r="H11" s="110"/>
      <c r="I11" s="110"/>
      <c r="J11" s="106">
        <f t="shared" si="0"/>
        <v>7.0948264031837516E-2</v>
      </c>
      <c r="K11" s="20">
        <f>B11/B$8</f>
        <v>0.1137013415438751</v>
      </c>
      <c r="L11" s="8"/>
      <c r="M11" s="8">
        <f>(C11+E11+G11-12.129)*0.133*1000</f>
        <v>3188.1429999999996</v>
      </c>
      <c r="N11" s="8">
        <f>(D11+F11+H11-12.129)*0.133*1000</f>
        <v>1405.943</v>
      </c>
      <c r="O11" s="8">
        <f>-M11*((E11+G11)/(C11+E11+G11))*$O$4</f>
        <v>-691.50026842105262</v>
      </c>
      <c r="P11" s="8">
        <f>-N11*((F11+H11)/(D11+F11+H11))*$O$4</f>
        <v>-334.45340088105723</v>
      </c>
      <c r="Q11" s="13">
        <f>M11+O11</f>
        <v>2496.642731578947</v>
      </c>
      <c r="R11" s="13">
        <f>N11+P11</f>
        <v>1071.4895991189428</v>
      </c>
      <c r="S11"/>
      <c r="T11" s="86">
        <f>$B11*1000*Q11</f>
        <v>258152858.44526312</v>
      </c>
      <c r="U11" s="78">
        <f>$B11*1000*R11</f>
        <v>110792024.54889868</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pans="1:16384" x14ac:dyDescent="0.2">
      <c r="A12" s="112" t="s">
        <v>19</v>
      </c>
      <c r="B12" s="107">
        <v>90.6</v>
      </c>
      <c r="C12" s="107">
        <v>33.4</v>
      </c>
      <c r="D12" s="107">
        <v>23.5</v>
      </c>
      <c r="E12" s="107">
        <v>11.2</v>
      </c>
      <c r="F12" s="107">
        <v>10</v>
      </c>
      <c r="G12" s="101"/>
      <c r="H12" s="101"/>
      <c r="I12" s="101"/>
      <c r="J12" s="106">
        <f t="shared" si="0"/>
        <v>6.2165500205846019E-2</v>
      </c>
      <c r="K12" s="20">
        <f>B12/B$8</f>
        <v>9.9626127116780289E-2</v>
      </c>
      <c r="L12" s="8"/>
      <c r="M12" s="8"/>
      <c r="N12" s="8"/>
      <c r="O12" s="8"/>
      <c r="T12" s="86"/>
      <c r="U12" s="78"/>
      <c r="W12" t="s">
        <v>89</v>
      </c>
    </row>
    <row r="13" spans="1:16384" s="12" customFormat="1" x14ac:dyDescent="0.2">
      <c r="A13" s="111" t="s">
        <v>20</v>
      </c>
      <c r="B13" s="109">
        <v>60.4</v>
      </c>
      <c r="C13" s="109">
        <v>26.7</v>
      </c>
      <c r="D13" s="109">
        <v>19.8</v>
      </c>
      <c r="E13" s="109">
        <v>6.6</v>
      </c>
      <c r="F13" s="109">
        <v>5.8</v>
      </c>
      <c r="G13" s="110"/>
      <c r="H13" s="110"/>
      <c r="I13" s="110"/>
      <c r="J13" s="106">
        <f t="shared" si="0"/>
        <v>4.1443666803897349E-2</v>
      </c>
      <c r="K13" s="20">
        <f t="shared" ref="K13:K14" si="1">B13/B$8</f>
        <v>6.6417418077853535E-2</v>
      </c>
      <c r="L13" s="8"/>
      <c r="M13" s="8">
        <f>(C13+E13+G13-12.129)*0.133*1000</f>
        <v>2815.7429999999999</v>
      </c>
      <c r="N13" s="8">
        <f>(D13+F13+H13-12.129)*0.133*1000</f>
        <v>1791.6430000000003</v>
      </c>
      <c r="O13" s="8"/>
      <c r="P13" s="8"/>
      <c r="Q13" s="13">
        <f>M13+O13</f>
        <v>2815.7429999999999</v>
      </c>
      <c r="R13" s="13">
        <f>N13+P13</f>
        <v>1791.6430000000003</v>
      </c>
      <c r="S13"/>
      <c r="T13" s="86">
        <f>$B13*1000*Q13</f>
        <v>170070877.19999999</v>
      </c>
      <c r="U13" s="78">
        <f>$B13*1000*R13</f>
        <v>108215237.20000002</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x14ac:dyDescent="0.2">
      <c r="A14" s="112" t="s">
        <v>21</v>
      </c>
      <c r="B14" s="107">
        <v>1.4</v>
      </c>
      <c r="C14" s="107">
        <v>29</v>
      </c>
      <c r="D14" s="107">
        <v>19.5</v>
      </c>
      <c r="E14" s="107">
        <v>2.8</v>
      </c>
      <c r="F14" s="107">
        <v>2.6</v>
      </c>
      <c r="G14" s="101"/>
      <c r="H14" s="101"/>
      <c r="I14" s="101"/>
      <c r="J14" s="106">
        <f t="shared" si="0"/>
        <v>9.6061479346781927E-4</v>
      </c>
      <c r="K14" s="20">
        <f t="shared" si="1"/>
        <v>1.5394765779634923E-3</v>
      </c>
      <c r="L14" s="8"/>
      <c r="M14" s="8"/>
      <c r="N14" s="8"/>
      <c r="O14" s="8"/>
      <c r="T14" s="86"/>
      <c r="U14" s="78"/>
      <c r="W14" t="s">
        <v>88</v>
      </c>
    </row>
    <row r="15" spans="1:16384" x14ac:dyDescent="0.2">
      <c r="A15" s="85"/>
      <c r="B15" s="101"/>
      <c r="C15" s="101"/>
      <c r="D15" s="101"/>
      <c r="E15" s="101"/>
      <c r="F15" s="101"/>
      <c r="G15" s="101"/>
      <c r="H15" s="101"/>
      <c r="I15" s="101"/>
      <c r="J15" s="106"/>
      <c r="L15" s="8"/>
      <c r="M15" s="8"/>
      <c r="N15" s="8"/>
      <c r="O15" s="8"/>
      <c r="Q15" s="10"/>
      <c r="T15" s="86"/>
      <c r="U15" s="78"/>
    </row>
    <row r="16" spans="1:16384" x14ac:dyDescent="0.2">
      <c r="A16" s="85" t="s">
        <v>2</v>
      </c>
      <c r="B16" s="107">
        <v>548</v>
      </c>
      <c r="C16" s="107">
        <v>4.7</v>
      </c>
      <c r="D16" s="107">
        <v>2</v>
      </c>
      <c r="E16" s="107"/>
      <c r="F16" s="107"/>
      <c r="G16" s="107">
        <v>35.200000000000003</v>
      </c>
      <c r="H16" s="107">
        <v>27</v>
      </c>
      <c r="I16" s="101"/>
      <c r="J16" s="106"/>
      <c r="L16" s="11"/>
      <c r="M16" s="8"/>
      <c r="N16" s="8"/>
      <c r="O16" s="8"/>
      <c r="T16" s="86"/>
      <c r="U16" s="78"/>
    </row>
    <row r="17" spans="1:16384" s="12" customFormat="1" x14ac:dyDescent="0.2">
      <c r="A17" s="108" t="s">
        <v>8</v>
      </c>
      <c r="B17" s="109">
        <v>329.9</v>
      </c>
      <c r="C17" s="109">
        <v>4.8</v>
      </c>
      <c r="D17" s="109">
        <v>1.9</v>
      </c>
      <c r="E17" s="109"/>
      <c r="F17" s="109"/>
      <c r="G17" s="109">
        <v>40.799999999999997</v>
      </c>
      <c r="H17" s="109">
        <v>32.5</v>
      </c>
      <c r="I17" s="110"/>
      <c r="J17" s="106">
        <f t="shared" si="0"/>
        <v>0.22636201454645255</v>
      </c>
      <c r="L17"/>
      <c r="M17" s="8">
        <f>(C17+E17+G17-12.129)*0.133*1000</f>
        <v>4451.643</v>
      </c>
      <c r="N17" s="8">
        <f>(D17+F17+H17-12.129)*0.133*1000</f>
        <v>2962.0430000000006</v>
      </c>
      <c r="O17" s="8">
        <f>-M17*((E17+G17)/(C17+E17+G17))*$O$4</f>
        <v>-3584.7440999999999</v>
      </c>
      <c r="P17" s="8">
        <f>-N17*((F17+H17)/(D17+F17+H17))*$O$4</f>
        <v>-2518.5976090116283</v>
      </c>
      <c r="Q17" s="13">
        <f>M17+O17</f>
        <v>866.89890000000014</v>
      </c>
      <c r="R17" s="13">
        <f>N17+P17</f>
        <v>443.44539098837231</v>
      </c>
      <c r="S17"/>
      <c r="T17" s="86">
        <f>$B17*1000*Q17</f>
        <v>285989947.11000007</v>
      </c>
      <c r="U17" s="78">
        <f>$B17*1000*R17</f>
        <v>146292634.48706403</v>
      </c>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x14ac:dyDescent="0.2">
      <c r="A18" s="85" t="s">
        <v>9</v>
      </c>
      <c r="B18" s="107">
        <v>138.1</v>
      </c>
      <c r="C18" s="107">
        <v>5.9</v>
      </c>
      <c r="D18" s="107">
        <v>2.8</v>
      </c>
      <c r="E18" s="107"/>
      <c r="F18" s="107"/>
      <c r="G18" s="107">
        <v>34.6</v>
      </c>
      <c r="H18" s="107">
        <v>26</v>
      </c>
      <c r="I18" s="101"/>
      <c r="J18" s="106">
        <f t="shared" si="0"/>
        <v>9.4757787841361324E-2</v>
      </c>
      <c r="M18" s="8"/>
      <c r="N18" s="8"/>
      <c r="O18" s="8"/>
      <c r="T18" s="86"/>
      <c r="U18" s="82"/>
      <c r="W18" t="s">
        <v>89</v>
      </c>
    </row>
    <row r="19" spans="1:16384" s="12" customFormat="1" x14ac:dyDescent="0.2">
      <c r="A19" s="108" t="s">
        <v>10</v>
      </c>
      <c r="B19" s="109">
        <v>46.4</v>
      </c>
      <c r="C19" s="109">
        <v>3.1</v>
      </c>
      <c r="D19" s="109">
        <v>1.4</v>
      </c>
      <c r="E19" s="109"/>
      <c r="F19" s="109"/>
      <c r="G19" s="109">
        <v>19.5</v>
      </c>
      <c r="H19" s="109">
        <v>16.7</v>
      </c>
      <c r="I19" s="110"/>
      <c r="J19" s="106">
        <f t="shared" si="0"/>
        <v>3.1837518869219157E-2</v>
      </c>
      <c r="L19"/>
      <c r="M19" s="8">
        <f>(C19+E19+G19-12.129)*0.133*1000</f>
        <v>1392.6430000000003</v>
      </c>
      <c r="N19" s="8">
        <f>(D19+F19+H19-12.129)*0.133*1000</f>
        <v>794.1429999999998</v>
      </c>
      <c r="O19" s="8"/>
      <c r="P19" s="8"/>
      <c r="Q19" s="13">
        <f>M19+O19</f>
        <v>1392.6430000000003</v>
      </c>
      <c r="R19" s="13">
        <f>N19+P19</f>
        <v>794.1429999999998</v>
      </c>
      <c r="S19"/>
      <c r="T19" s="86">
        <f>$B19*1000*Q19</f>
        <v>64618635.20000001</v>
      </c>
      <c r="U19" s="78">
        <f>$B19*1000*R19</f>
        <v>36848235.199999988</v>
      </c>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spans="1:16384" x14ac:dyDescent="0.2">
      <c r="A20" s="85" t="s">
        <v>11</v>
      </c>
      <c r="B20" s="107">
        <v>33.5</v>
      </c>
      <c r="C20" s="107">
        <v>2.1</v>
      </c>
      <c r="D20" s="107">
        <v>1.2</v>
      </c>
      <c r="E20" s="107"/>
      <c r="F20" s="107"/>
      <c r="G20" s="107">
        <v>4.4000000000000004</v>
      </c>
      <c r="H20" s="107">
        <v>3.8</v>
      </c>
      <c r="I20" s="101"/>
      <c r="J20" s="106">
        <f t="shared" si="0"/>
        <v>2.2986139700837106E-2</v>
      </c>
      <c r="T20" s="86"/>
      <c r="U20" s="78"/>
      <c r="W20" t="s">
        <v>88</v>
      </c>
    </row>
    <row r="21" spans="1:16384" x14ac:dyDescent="0.2">
      <c r="A21" s="100"/>
      <c r="B21" s="1"/>
      <c r="C21" s="1"/>
      <c r="D21" s="1"/>
      <c r="E21" s="1"/>
      <c r="F21" s="1"/>
      <c r="G21" s="1"/>
      <c r="H21" s="1"/>
      <c r="I21" s="1"/>
      <c r="J21" s="113"/>
      <c r="T21" s="87">
        <f>SUM(T9:T19)</f>
        <v>2932804531.3552632</v>
      </c>
      <c r="U21" s="79">
        <f>SUM(U9:U19)</f>
        <v>1782217284.8359628</v>
      </c>
    </row>
    <row r="22" spans="1:16384" x14ac:dyDescent="0.2">
      <c r="A22" s="3" t="s">
        <v>22</v>
      </c>
    </row>
    <row r="23" spans="1:16384" x14ac:dyDescent="0.2">
      <c r="A23" s="15" t="s">
        <v>23</v>
      </c>
      <c r="W23" s="14"/>
    </row>
    <row r="24" spans="1:16384" x14ac:dyDescent="0.2">
      <c r="R24" s="26" t="s">
        <v>81</v>
      </c>
      <c r="T24" s="135">
        <v>0.4</v>
      </c>
      <c r="U24" s="95">
        <f>T24</f>
        <v>0.4</v>
      </c>
      <c r="W24" s="61" t="s">
        <v>115</v>
      </c>
    </row>
    <row r="25" spans="1:16384" x14ac:dyDescent="0.2">
      <c r="R25" s="26" t="s">
        <v>64</v>
      </c>
      <c r="T25" s="89">
        <f>-SUM(T9:T13)*T24</f>
        <v>-1032878379.6181054</v>
      </c>
      <c r="U25" s="81">
        <f>-SUM(U9:U13)*U24</f>
        <v>-639630566.05955946</v>
      </c>
      <c r="W25" s="62" t="s">
        <v>102</v>
      </c>
      <c r="X25" s="19"/>
    </row>
    <row r="26" spans="1:16384" x14ac:dyDescent="0.2">
      <c r="C26" s="5">
        <f>SUM(C6:C20)*1000</f>
        <v>273100</v>
      </c>
      <c r="T26" s="88">
        <f>'Methode 2'!U29</f>
        <v>-7.6678829780423757E-2</v>
      </c>
      <c r="U26" s="80">
        <f>'Methode 2'!U21</f>
        <v>-8.7747742671606288E-2</v>
      </c>
      <c r="W26" s="19"/>
      <c r="X26" s="19"/>
    </row>
    <row r="27" spans="1:16384" x14ac:dyDescent="0.2">
      <c r="R27" s="26" t="s">
        <v>75</v>
      </c>
      <c r="T27" s="90">
        <f>T21*T26</f>
        <v>-224884019.4390457</v>
      </c>
      <c r="U27" s="82">
        <f>U21*U26</f>
        <v>-156385543.69467491</v>
      </c>
    </row>
    <row r="28" spans="1:16384" ht="16" thickBot="1" x14ac:dyDescent="0.25">
      <c r="T28" s="86"/>
      <c r="U28" s="78"/>
    </row>
    <row r="29" spans="1:16384" ht="16" thickBot="1" x14ac:dyDescent="0.25">
      <c r="R29" s="22" t="s">
        <v>65</v>
      </c>
      <c r="S29" s="23"/>
      <c r="T29" s="91">
        <f>T21+T25+T27</f>
        <v>1675042132.2981122</v>
      </c>
      <c r="U29" s="83">
        <f>U21+U25+U27</f>
        <v>986201175.08172846</v>
      </c>
    </row>
    <row r="31" spans="1:16384" x14ac:dyDescent="0.2">
      <c r="T31" s="92"/>
    </row>
    <row r="32" spans="1:16384" x14ac:dyDescent="0.2">
      <c r="T32" s="92"/>
    </row>
    <row r="36" spans="5:20" x14ac:dyDescent="0.2">
      <c r="E36" s="8"/>
    </row>
    <row r="37" spans="5:20" x14ac:dyDescent="0.2">
      <c r="E37" s="8"/>
    </row>
    <row r="42" spans="5:20" x14ac:dyDescent="0.2">
      <c r="T42" s="93"/>
    </row>
  </sheetData>
  <mergeCells count="8">
    <mergeCell ref="K4:N4"/>
    <mergeCell ref="C2:D2"/>
    <mergeCell ref="E2:F2"/>
    <mergeCell ref="G2:H2"/>
    <mergeCell ref="T1:U1"/>
    <mergeCell ref="Q1:R1"/>
    <mergeCell ref="O1:P1"/>
    <mergeCell ref="M1:N1"/>
  </mergeCells>
  <hyperlinks>
    <hyperlink ref="A23" r:id="rId1" xr:uid="{C950D6ED-4CB0-4881-BFB6-20AB7A77D24C}"/>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4579A-DA95-4593-A399-29E3CFF2387C}">
  <dimension ref="A1:W38"/>
  <sheetViews>
    <sheetView zoomScaleNormal="100" workbookViewId="0">
      <selection activeCell="K25" sqref="K25"/>
    </sheetView>
  </sheetViews>
  <sheetFormatPr baseColWidth="10" defaultColWidth="8.83203125" defaultRowHeight="15" x14ac:dyDescent="0.2"/>
  <cols>
    <col min="1" max="1" width="17.6640625" customWidth="1"/>
    <col min="2" max="2" width="11.33203125" customWidth="1"/>
    <col min="3" max="3" width="12" customWidth="1"/>
    <col min="4" max="4" width="9" customWidth="1"/>
    <col min="5" max="5" width="10.5" customWidth="1"/>
    <col min="6" max="6" width="12.5" customWidth="1"/>
    <col min="11" max="11" width="16.1640625" bestFit="1" customWidth="1"/>
    <col min="12" max="12" width="16" bestFit="1" customWidth="1"/>
    <col min="13" max="13" width="16" customWidth="1"/>
    <col min="14" max="15" width="16" bestFit="1" customWidth="1"/>
    <col min="16" max="20" width="18" customWidth="1"/>
    <col min="23" max="23" width="13.6640625" bestFit="1" customWidth="1"/>
  </cols>
  <sheetData>
    <row r="1" spans="1:23" x14ac:dyDescent="0.2">
      <c r="A1" t="s">
        <v>61</v>
      </c>
    </row>
    <row r="3" spans="1:23" x14ac:dyDescent="0.2">
      <c r="C3" t="s">
        <v>60</v>
      </c>
    </row>
    <row r="4" spans="1:23" s="124" customFormat="1" ht="64" x14ac:dyDescent="0.2">
      <c r="C4" s="124" t="s">
        <v>59</v>
      </c>
      <c r="D4" s="124" t="s">
        <v>58</v>
      </c>
      <c r="E4" s="124" t="s">
        <v>57</v>
      </c>
      <c r="F4" s="124" t="s">
        <v>56</v>
      </c>
      <c r="G4" s="124" t="s">
        <v>55</v>
      </c>
      <c r="H4" s="124" t="s">
        <v>54</v>
      </c>
      <c r="I4" s="124" t="s">
        <v>53</v>
      </c>
      <c r="J4" s="124" t="s">
        <v>52</v>
      </c>
      <c r="K4" s="125" t="s">
        <v>51</v>
      </c>
      <c r="L4" s="125" t="s">
        <v>50</v>
      </c>
      <c r="M4" s="125" t="s">
        <v>49</v>
      </c>
      <c r="N4" s="125" t="s">
        <v>48</v>
      </c>
      <c r="O4" s="125" t="s">
        <v>47</v>
      </c>
      <c r="P4" s="126" t="s">
        <v>46</v>
      </c>
      <c r="Q4" s="126" t="s">
        <v>45</v>
      </c>
      <c r="R4" s="126" t="s">
        <v>44</v>
      </c>
      <c r="S4" s="126" t="s">
        <v>43</v>
      </c>
      <c r="T4" s="127" t="s">
        <v>42</v>
      </c>
      <c r="U4" s="126" t="s">
        <v>107</v>
      </c>
    </row>
    <row r="5" spans="1:23" x14ac:dyDescent="0.2">
      <c r="A5" t="s">
        <v>41</v>
      </c>
      <c r="B5" t="s">
        <v>40</v>
      </c>
      <c r="C5" t="s">
        <v>5</v>
      </c>
      <c r="D5" t="s">
        <v>6</v>
      </c>
      <c r="E5" t="s">
        <v>6</v>
      </c>
      <c r="F5" t="s">
        <v>39</v>
      </c>
      <c r="G5" t="s">
        <v>39</v>
      </c>
      <c r="H5" t="s">
        <v>39</v>
      </c>
      <c r="I5" t="s">
        <v>39</v>
      </c>
      <c r="J5" t="s">
        <v>39</v>
      </c>
      <c r="K5" s="16" t="s">
        <v>38</v>
      </c>
      <c r="L5" s="16" t="s">
        <v>38</v>
      </c>
      <c r="M5" s="16" t="s">
        <v>38</v>
      </c>
      <c r="N5" s="16" t="s">
        <v>38</v>
      </c>
      <c r="O5" s="16" t="s">
        <v>38</v>
      </c>
      <c r="P5" s="18" t="s">
        <v>38</v>
      </c>
      <c r="Q5" s="18" t="s">
        <v>38</v>
      </c>
      <c r="R5" s="18" t="s">
        <v>38</v>
      </c>
      <c r="S5" s="18" t="s">
        <v>38</v>
      </c>
      <c r="T5" s="12" t="s">
        <v>38</v>
      </c>
      <c r="U5" s="18" t="s">
        <v>38</v>
      </c>
    </row>
    <row r="6" spans="1:23" x14ac:dyDescent="0.2">
      <c r="A6" t="s">
        <v>111</v>
      </c>
      <c r="B6">
        <v>2014</v>
      </c>
      <c r="C6">
        <v>16524</v>
      </c>
      <c r="D6">
        <v>22.8</v>
      </c>
      <c r="E6">
        <v>25.9</v>
      </c>
      <c r="F6">
        <v>0.161</v>
      </c>
      <c r="G6">
        <v>0.28299999999999997</v>
      </c>
      <c r="H6">
        <v>0.21099999999999999</v>
      </c>
      <c r="I6">
        <v>0.58899999999999997</v>
      </c>
      <c r="J6">
        <v>4.2370000000000001</v>
      </c>
      <c r="K6" s="19">
        <v>3.2</v>
      </c>
      <c r="L6" s="19">
        <v>5.6</v>
      </c>
      <c r="M6" s="19">
        <v>6.6</v>
      </c>
      <c r="N6" s="19">
        <v>7.4</v>
      </c>
      <c r="O6" s="16">
        <v>8.3000000000000007</v>
      </c>
      <c r="P6" s="19">
        <v>9.3000000000000007</v>
      </c>
      <c r="Q6" s="19">
        <v>10.4</v>
      </c>
      <c r="R6" s="19">
        <v>11.8</v>
      </c>
      <c r="S6" s="19">
        <v>13.9</v>
      </c>
      <c r="T6" s="12">
        <v>23.4</v>
      </c>
      <c r="U6" s="121">
        <f>SUM(K6:T6)</f>
        <v>99.9</v>
      </c>
    </row>
    <row r="7" spans="1:23" x14ac:dyDescent="0.2">
      <c r="A7" s="17" t="s">
        <v>112</v>
      </c>
      <c r="B7" s="17">
        <v>2014</v>
      </c>
      <c r="C7" s="17">
        <v>2654</v>
      </c>
      <c r="D7" s="17">
        <v>26.3</v>
      </c>
      <c r="E7" s="17">
        <v>32.4</v>
      </c>
      <c r="F7" s="17">
        <v>0.27500000000000002</v>
      </c>
      <c r="G7" s="17">
        <v>0.372</v>
      </c>
      <c r="H7" s="17">
        <v>0.26300000000000001</v>
      </c>
      <c r="I7" s="17">
        <v>0.70599999999999996</v>
      </c>
      <c r="J7" s="17">
        <v>7.4640000000000004</v>
      </c>
      <c r="K7" s="16">
        <v>1.3</v>
      </c>
      <c r="L7" s="16">
        <v>4.5999999999999996</v>
      </c>
      <c r="M7" s="16">
        <v>5.8</v>
      </c>
      <c r="N7" s="16">
        <v>6.7</v>
      </c>
      <c r="O7" s="16">
        <v>7.7</v>
      </c>
      <c r="P7" s="18">
        <v>8.6</v>
      </c>
      <c r="Q7" s="18">
        <v>9.9</v>
      </c>
      <c r="R7" s="18">
        <v>11.6</v>
      </c>
      <c r="S7" s="18">
        <v>14.5</v>
      </c>
      <c r="T7" s="12">
        <v>29.3</v>
      </c>
      <c r="U7" s="121">
        <f>SUM(K7:T7)</f>
        <v>99.999999999999986</v>
      </c>
    </row>
    <row r="8" spans="1:23" x14ac:dyDescent="0.2">
      <c r="A8" t="s">
        <v>37</v>
      </c>
      <c r="K8" s="16"/>
      <c r="L8" s="16"/>
      <c r="M8" s="16"/>
      <c r="N8" s="16"/>
      <c r="O8" s="16"/>
      <c r="P8" s="18"/>
      <c r="Q8" s="18"/>
      <c r="R8" s="18"/>
      <c r="S8" s="18"/>
      <c r="T8" s="12"/>
    </row>
    <row r="9" spans="1:23" x14ac:dyDescent="0.2">
      <c r="A9" s="15" t="s">
        <v>36</v>
      </c>
      <c r="K9" s="16" t="s">
        <v>113</v>
      </c>
      <c r="L9" s="16"/>
      <c r="M9" s="16"/>
      <c r="N9" s="16"/>
      <c r="O9" s="16"/>
      <c r="P9" s="18"/>
      <c r="Q9" s="18"/>
      <c r="R9" s="18"/>
      <c r="S9" s="18"/>
      <c r="T9" s="12"/>
    </row>
    <row r="11" spans="1:23" x14ac:dyDescent="0.2">
      <c r="T11" s="12"/>
    </row>
    <row r="12" spans="1:23" x14ac:dyDescent="0.2">
      <c r="T12" s="12"/>
    </row>
    <row r="13" spans="1:23" x14ac:dyDescent="0.2">
      <c r="T13" s="12"/>
    </row>
    <row r="14" spans="1:23" ht="32" x14ac:dyDescent="0.2">
      <c r="A14" s="21"/>
      <c r="B14" s="21"/>
      <c r="C14" s="27" t="s">
        <v>68</v>
      </c>
      <c r="D14" s="27"/>
      <c r="E14" s="28" t="s">
        <v>69</v>
      </c>
      <c r="F14" s="28" t="s">
        <v>67</v>
      </c>
      <c r="T14" s="12"/>
      <c r="W14" s="9"/>
    </row>
    <row r="15" spans="1:23" x14ac:dyDescent="0.2">
      <c r="A15" s="21" t="str">
        <f>Methode1!A8</f>
        <v>Zzp hoofdinkomen</v>
      </c>
      <c r="B15" s="21"/>
      <c r="C15" s="21">
        <f>Methode1!B8</f>
        <v>909.4</v>
      </c>
      <c r="D15" s="33"/>
      <c r="E15" s="21">
        <f>Methode1!D8</f>
        <v>25.4</v>
      </c>
      <c r="F15" s="21">
        <f>Methode1!C8</f>
        <v>34.799999999999997</v>
      </c>
      <c r="J15" s="26" t="s">
        <v>66</v>
      </c>
      <c r="K15" s="7">
        <f>C15*1000/10</f>
        <v>90940</v>
      </c>
      <c r="L15" s="7">
        <f>K15</f>
        <v>90940</v>
      </c>
      <c r="M15" s="7">
        <f t="shared" ref="M15:T15" si="0">L15</f>
        <v>90940</v>
      </c>
      <c r="N15" s="7">
        <f t="shared" si="0"/>
        <v>90940</v>
      </c>
      <c r="O15" s="7">
        <f t="shared" si="0"/>
        <v>90940</v>
      </c>
      <c r="P15" s="7">
        <f t="shared" si="0"/>
        <v>90940</v>
      </c>
      <c r="Q15" s="7">
        <f t="shared" si="0"/>
        <v>90940</v>
      </c>
      <c r="R15" s="7">
        <f t="shared" si="0"/>
        <v>90940</v>
      </c>
      <c r="S15" s="7">
        <f t="shared" si="0"/>
        <v>90940</v>
      </c>
      <c r="T15" s="30">
        <f t="shared" si="0"/>
        <v>90940</v>
      </c>
      <c r="W15" s="7"/>
    </row>
    <row r="16" spans="1:23" x14ac:dyDescent="0.2">
      <c r="D16" s="24"/>
    </row>
    <row r="17" spans="1:21" x14ac:dyDescent="0.2">
      <c r="J17" s="34" t="s">
        <v>70</v>
      </c>
      <c r="K17" s="36">
        <f>$E15*1000*K$7/100*$C$15*1000</f>
        <v>300283880</v>
      </c>
      <c r="L17" s="36">
        <f>$E15*1000*L$7/100*$C$15*1000</f>
        <v>1062542960</v>
      </c>
      <c r="M17" s="36">
        <f>$E15*1000*M$7/100*$C$15*1000</f>
        <v>1339728080</v>
      </c>
      <c r="N17" s="36">
        <f>$E15*1000*N$7/100*$C$15*1000</f>
        <v>1547616920</v>
      </c>
      <c r="O17" s="36">
        <f>$E15*1000*O$7/100*$C$15*1000</f>
        <v>1778604520</v>
      </c>
      <c r="P17" s="36">
        <f>$E15*1000*P$7/100*$C$15*1000</f>
        <v>1986493360</v>
      </c>
      <c r="Q17" s="36">
        <f>$E15*1000*Q$7/100*$C$15*1000</f>
        <v>2286777239.9999995</v>
      </c>
      <c r="R17" s="36">
        <f>$E15*1000*R$7/100*$C$15*1000</f>
        <v>2679456160</v>
      </c>
      <c r="S17" s="36">
        <f>$E15*1000*S$7/100*$C$15*1000</f>
        <v>3349320199.9999995</v>
      </c>
      <c r="T17" s="36">
        <f>$E15*1000*T$7/100*$C$15*1000</f>
        <v>6767936680</v>
      </c>
    </row>
    <row r="18" spans="1:21" x14ac:dyDescent="0.2">
      <c r="J18" s="34" t="s">
        <v>72</v>
      </c>
      <c r="K18" s="35">
        <f t="shared" ref="K18:T18" si="1">K17/K15</f>
        <v>3302</v>
      </c>
      <c r="L18" s="35">
        <f t="shared" si="1"/>
        <v>11684</v>
      </c>
      <c r="M18" s="35">
        <f t="shared" si="1"/>
        <v>14732</v>
      </c>
      <c r="N18" s="35">
        <f t="shared" si="1"/>
        <v>17018</v>
      </c>
      <c r="O18" s="35">
        <f t="shared" si="1"/>
        <v>19558</v>
      </c>
      <c r="P18" s="35">
        <f t="shared" si="1"/>
        <v>21844</v>
      </c>
      <c r="Q18" s="35">
        <f t="shared" si="1"/>
        <v>25145.999999999996</v>
      </c>
      <c r="R18" s="35">
        <f t="shared" si="1"/>
        <v>29464</v>
      </c>
      <c r="S18" s="35">
        <f t="shared" si="1"/>
        <v>36829.999999999993</v>
      </c>
      <c r="T18" s="35">
        <f t="shared" si="1"/>
        <v>74422</v>
      </c>
    </row>
    <row r="19" spans="1:21" x14ac:dyDescent="0.2">
      <c r="J19" s="26" t="s">
        <v>24</v>
      </c>
      <c r="K19" s="8">
        <v>0</v>
      </c>
      <c r="L19" s="8">
        <v>0</v>
      </c>
      <c r="M19" s="8">
        <f t="shared" ref="M19:O19" si="2">(M18-12129)*0.133*M15</f>
        <v>31483337.060000002</v>
      </c>
      <c r="N19" s="8">
        <f t="shared" si="2"/>
        <v>59132552.780000009</v>
      </c>
      <c r="O19" s="8">
        <f t="shared" si="2"/>
        <v>89853903.579999998</v>
      </c>
      <c r="P19" s="8">
        <f t="shared" ref="P19" si="3">(P18-12129)*0.133*P15</f>
        <v>117503119.3</v>
      </c>
      <c r="Q19" s="8">
        <f t="shared" ref="Q19" si="4">(Q18-12129)*0.133*Q15</f>
        <v>157440875.33999994</v>
      </c>
      <c r="R19" s="8">
        <f t="shared" ref="R19" si="5">(R18-12129)*0.133*R15</f>
        <v>209667171.70000002</v>
      </c>
      <c r="S19" s="8">
        <f t="shared" ref="S19" si="6">(S18-12129)*0.133*S15</f>
        <v>298759089.01999992</v>
      </c>
      <c r="T19" s="133">
        <f t="shared" ref="T19" si="7">(T18-12129)*0.133*T15</f>
        <v>753435080.86000013</v>
      </c>
    </row>
    <row r="20" spans="1:21" x14ac:dyDescent="0.2">
      <c r="J20" s="26"/>
      <c r="K20" s="8">
        <v>0</v>
      </c>
      <c r="L20" s="8">
        <v>0</v>
      </c>
      <c r="M20" s="8">
        <v>0</v>
      </c>
      <c r="N20" s="8">
        <v>0</v>
      </c>
      <c r="O20" s="8">
        <v>0</v>
      </c>
      <c r="P20" s="8">
        <v>0</v>
      </c>
      <c r="Q20" s="8">
        <v>0</v>
      </c>
      <c r="R20" s="13">
        <f t="shared" ref="R20:S20" si="8">R19</f>
        <v>209667171.70000002</v>
      </c>
      <c r="S20" s="13">
        <f t="shared" si="8"/>
        <v>298759089.01999992</v>
      </c>
      <c r="T20" s="134">
        <f>T19*0.8</f>
        <v>602748064.68800008</v>
      </c>
      <c r="U20" s="14" t="s">
        <v>114</v>
      </c>
    </row>
    <row r="21" spans="1:21" x14ac:dyDescent="0.2">
      <c r="K21" s="39">
        <v>0.7</v>
      </c>
      <c r="L21" t="s">
        <v>76</v>
      </c>
      <c r="R21" s="14"/>
      <c r="U21" s="136">
        <f>(T20-T19)/SUM(K19:T19)</f>
        <v>-8.7747742671606288E-2</v>
      </c>
    </row>
    <row r="22" spans="1:21" ht="16" thickBot="1" x14ac:dyDescent="0.25"/>
    <row r="23" spans="1:21" ht="16" thickBot="1" x14ac:dyDescent="0.25">
      <c r="T23" s="40">
        <f>SUM(K20:T20)</f>
        <v>1111174325.408</v>
      </c>
    </row>
    <row r="24" spans="1:21" x14ac:dyDescent="0.2">
      <c r="T24" s="41"/>
    </row>
    <row r="25" spans="1:21" x14ac:dyDescent="0.2">
      <c r="J25" s="26" t="s">
        <v>71</v>
      </c>
      <c r="K25" s="29">
        <f>$F15*1000*K$7/100*$C$15*1000</f>
        <v>411412560</v>
      </c>
      <c r="L25" s="29">
        <f>$F15*1000*L$7/100*$C$15*1000</f>
        <v>1455767520</v>
      </c>
      <c r="M25" s="29">
        <f>$F15*1000*M$7/100*$C$15*1000</f>
        <v>1835532960</v>
      </c>
      <c r="N25" s="29">
        <f>$F15*1000*N$7/100*$C$15*1000</f>
        <v>2120357040</v>
      </c>
      <c r="O25" s="29">
        <f>$F15*1000*O$7/100*$C$15*1000</f>
        <v>2436828239.9999995</v>
      </c>
      <c r="P25" s="29">
        <f>$F15*1000*P$7/100*$C$15*1000</f>
        <v>2721652320.0000005</v>
      </c>
      <c r="Q25" s="29">
        <f>$F15*1000*Q$7/100*$C$15*1000</f>
        <v>3133064880</v>
      </c>
      <c r="R25" s="29">
        <f>$F15*1000*R$7/100*$C$15*1000</f>
        <v>3671065920</v>
      </c>
      <c r="S25" s="29">
        <f>$F15*1000*S$7/100*$C$15*1000</f>
        <v>4588832399.999999</v>
      </c>
      <c r="T25" s="31">
        <f>$F15*1000*T$7/100*$C$15*1000</f>
        <v>9272606160</v>
      </c>
    </row>
    <row r="26" spans="1:21" x14ac:dyDescent="0.2">
      <c r="J26" s="26" t="s">
        <v>73</v>
      </c>
      <c r="K26" s="37">
        <f t="shared" ref="K26:T26" si="9">K25/K15</f>
        <v>4524</v>
      </c>
      <c r="L26" s="37">
        <f t="shared" si="9"/>
        <v>16008</v>
      </c>
      <c r="M26" s="37">
        <f t="shared" si="9"/>
        <v>20184</v>
      </c>
      <c r="N26" s="37">
        <f t="shared" si="9"/>
        <v>23316</v>
      </c>
      <c r="O26" s="37">
        <f t="shared" si="9"/>
        <v>26795.999999999996</v>
      </c>
      <c r="P26" s="37">
        <f t="shared" si="9"/>
        <v>29928.000000000004</v>
      </c>
      <c r="Q26" s="11">
        <f t="shared" si="9"/>
        <v>34452</v>
      </c>
      <c r="R26" s="11">
        <f t="shared" si="9"/>
        <v>40368</v>
      </c>
      <c r="S26" s="11">
        <f t="shared" si="9"/>
        <v>50459.999999999993</v>
      </c>
      <c r="T26" s="32">
        <f t="shared" si="9"/>
        <v>101964</v>
      </c>
    </row>
    <row r="27" spans="1:21" x14ac:dyDescent="0.2">
      <c r="J27" s="26" t="s">
        <v>24</v>
      </c>
      <c r="K27" s="38">
        <v>0</v>
      </c>
      <c r="L27" s="8">
        <f t="shared" ref="L27:T27" si="10">(L26-12129)*0.133*L15</f>
        <v>46916582.580000006</v>
      </c>
      <c r="M27" s="8">
        <f t="shared" si="10"/>
        <v>97425386.100000009</v>
      </c>
      <c r="N27" s="8">
        <f t="shared" si="10"/>
        <v>135306988.74000001</v>
      </c>
      <c r="O27" s="8">
        <f t="shared" si="10"/>
        <v>177397658.33999997</v>
      </c>
      <c r="P27" s="8">
        <f t="shared" si="10"/>
        <v>215279260.98000008</v>
      </c>
      <c r="Q27" s="8">
        <f t="shared" si="10"/>
        <v>269997131.46000004</v>
      </c>
      <c r="R27" s="8">
        <f t="shared" si="10"/>
        <v>341551269.78000003</v>
      </c>
      <c r="S27" s="8">
        <f t="shared" si="10"/>
        <v>463614211.61999995</v>
      </c>
      <c r="T27" s="133">
        <f t="shared" si="10"/>
        <v>1086556121.7</v>
      </c>
    </row>
    <row r="28" spans="1:21" x14ac:dyDescent="0.2">
      <c r="J28" s="26" t="s">
        <v>74</v>
      </c>
      <c r="K28" s="38">
        <v>0</v>
      </c>
      <c r="L28" s="38">
        <v>0</v>
      </c>
      <c r="M28" s="38">
        <v>0</v>
      </c>
      <c r="N28" s="38">
        <v>0</v>
      </c>
      <c r="O28" s="38">
        <v>0</v>
      </c>
      <c r="P28" s="13">
        <f t="shared" ref="P28:S28" si="11">P27</f>
        <v>215279260.98000008</v>
      </c>
      <c r="Q28" s="13">
        <f t="shared" si="11"/>
        <v>269997131.46000004</v>
      </c>
      <c r="R28" s="13">
        <f t="shared" si="11"/>
        <v>341551269.78000003</v>
      </c>
      <c r="S28" s="13">
        <f t="shared" si="11"/>
        <v>463614211.61999995</v>
      </c>
      <c r="T28" s="134">
        <f>T27*0.8</f>
        <v>869244897.36000013</v>
      </c>
      <c r="U28" s="14" t="s">
        <v>114</v>
      </c>
    </row>
    <row r="29" spans="1:21" x14ac:dyDescent="0.2">
      <c r="A29" s="19"/>
      <c r="B29" s="19"/>
      <c r="C29" s="19"/>
      <c r="D29" s="25"/>
      <c r="E29" s="19"/>
      <c r="F29" s="19"/>
      <c r="K29" s="39">
        <v>0.5</v>
      </c>
      <c r="L29" t="s">
        <v>76</v>
      </c>
      <c r="P29" s="14"/>
      <c r="U29" s="136">
        <f>(T28-T27)/SUM(K27:T27)</f>
        <v>-7.6678829780423757E-2</v>
      </c>
    </row>
    <row r="30" spans="1:21" ht="16" thickBot="1" x14ac:dyDescent="0.25">
      <c r="S30" s="26"/>
    </row>
    <row r="31" spans="1:21" ht="16" thickBot="1" x14ac:dyDescent="0.25">
      <c r="D31" s="24"/>
      <c r="T31" s="40">
        <f>SUM(K28:T28)</f>
        <v>2159686771.2000003</v>
      </c>
    </row>
    <row r="32" spans="1:21" x14ac:dyDescent="0.2">
      <c r="D32" s="24"/>
    </row>
    <row r="33" spans="4:4" x14ac:dyDescent="0.2">
      <c r="D33" s="24"/>
    </row>
    <row r="34" spans="4:4" x14ac:dyDescent="0.2">
      <c r="D34" s="24"/>
    </row>
    <row r="35" spans="4:4" x14ac:dyDescent="0.2">
      <c r="D35" s="24"/>
    </row>
    <row r="36" spans="4:4" x14ac:dyDescent="0.2">
      <c r="D36" s="24"/>
    </row>
    <row r="37" spans="4:4" x14ac:dyDescent="0.2">
      <c r="D37" s="24"/>
    </row>
    <row r="38" spans="4:4" x14ac:dyDescent="0.2">
      <c r="D38" s="24"/>
    </row>
  </sheetData>
  <hyperlinks>
    <hyperlink ref="A9" r:id="rId1" location="/CBS/nl/dataset/71512ned/table?ts=1541081928757" xr:uid="{7758C7FD-EDCD-475E-B5EB-0AAE719210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Samenvatting</vt:lpstr>
      <vt:lpstr>Methode1</vt:lpstr>
      <vt:lpstr>Methode 2</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Pouwels-Urlings, N.M.A.</dc:creator>
  <cp:lastModifiedBy>Sjaak Zonneveld</cp:lastModifiedBy>
  <dcterms:created xsi:type="dcterms:W3CDTF">2017-12-12T10:24:20Z</dcterms:created>
  <dcterms:modified xsi:type="dcterms:W3CDTF">2018-12-09T22:46:20Z</dcterms:modified>
</cp:coreProperties>
</file>